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showHorizontalScroll="0" showVerticalScroll="0" xWindow="0" yWindow="255" windowWidth="25320" windowHeight="14520"/>
  </bookViews>
  <sheets>
    <sheet name="Rekenblad" sheetId="1" r:id="rId1"/>
    <sheet name="Gemeenten met categorie" sheetId="2" r:id="rId2"/>
    <sheet name="Invoerscherm" sheetId="3" r:id="rId3"/>
    <sheet name="INFO" sheetId="4" r:id="rId4"/>
  </sheets>
  <definedNames>
    <definedName name="_xlnm._FilterDatabase" localSheetId="1" hidden="1">'Gemeenten met categorie'!$A$2:$D$461</definedName>
    <definedName name="_xlnm.Print_Area" localSheetId="1">'Gemeenten met categorie'!$A$1:$BA$484</definedName>
    <definedName name="_xlnm.Print_Area" localSheetId="3">INFO!$B$2:$O$47</definedName>
    <definedName name="_xlnm.Print_Area" localSheetId="0">Rekenblad!$A$1:$O$32</definedName>
    <definedName name="Z_8B6F97DF_C947_48D2_9784_61CE00853B70_.wvu.PrintArea" localSheetId="1" hidden="1">'Gemeenten met categorie'!$A$3:$D$490</definedName>
    <definedName name="Z_8B6F97DF_C947_48D2_9784_61CE00853B70_.wvu.PrintArea" localSheetId="3" hidden="1">INFO!$B$2:$O$47</definedName>
    <definedName name="Z_8B6F97DF_C947_48D2_9784_61CE00853B70_.wvu.PrintArea" localSheetId="0" hidden="1">Rekenblad!$A$1:$O$32</definedName>
  </definedNames>
  <calcPr calcId="145621"/>
  <customWorkbookViews>
    <customWorkbookView name="SoerG01 - Persoonlijke weergave" guid="{8B6F97DF-C947-48D2-9784-61CE00853B70}" mergeInterval="0" personalView="1" maximized="1" windowWidth="1020" windowHeight="693" activeSheetId="2" showFormulaBar="0" showStatusbar="0" showComments="commNone"/>
  </customWorkbookViews>
</workbook>
</file>

<file path=xl/calcChain.xml><?xml version="1.0" encoding="utf-8"?>
<calcChain xmlns="http://schemas.openxmlformats.org/spreadsheetml/2006/main">
  <c r="E25" i="1" l="1"/>
  <c r="E28" i="1"/>
  <c r="K11" i="2"/>
  <c r="D7" i="1"/>
  <c r="I18" i="2" s="1"/>
  <c r="AF9" i="2"/>
  <c r="D6" i="3" s="1"/>
  <c r="AF10" i="2"/>
  <c r="AF11" i="2"/>
  <c r="AL22" i="2"/>
  <c r="D20" i="3"/>
  <c r="AL23" i="2"/>
  <c r="D21" i="3"/>
  <c r="AL24" i="2"/>
  <c r="H25" i="1"/>
  <c r="H28" i="1"/>
  <c r="K19" i="2"/>
  <c r="F6" i="1"/>
  <c r="K47" i="2"/>
  <c r="I47" i="2"/>
  <c r="AE14" i="2"/>
  <c r="AI22" i="2"/>
  <c r="D13" i="3"/>
  <c r="AI23" i="2"/>
  <c r="D14" i="3"/>
  <c r="AI24" i="2"/>
  <c r="D17" i="3"/>
  <c r="AB20" i="2"/>
  <c r="R74" i="2"/>
  <c r="AD55" i="2"/>
  <c r="AG55" i="2"/>
  <c r="AH55" i="2"/>
  <c r="AD56" i="2"/>
  <c r="AG56" i="2"/>
  <c r="AH56" i="2"/>
  <c r="AD40" i="2"/>
  <c r="AF45" i="2"/>
  <c r="D28" i="3"/>
  <c r="AF46" i="2"/>
  <c r="AE49" i="2"/>
  <c r="AD41" i="2"/>
  <c r="R78" i="2"/>
  <c r="P66" i="2"/>
  <c r="L78" i="2"/>
  <c r="P67" i="2"/>
  <c r="M78" i="2"/>
  <c r="R66" i="2"/>
  <c r="R67" i="2"/>
  <c r="M77" i="2"/>
  <c r="L77" i="2"/>
  <c r="R77" i="2"/>
  <c r="M76" i="2"/>
  <c r="L76" i="2"/>
  <c r="R76" i="2"/>
  <c r="M75" i="2"/>
  <c r="L75" i="2"/>
  <c r="R75" i="2"/>
  <c r="M74" i="2"/>
  <c r="L74" i="2"/>
  <c r="Q78" i="2"/>
  <c r="P78" i="2"/>
  <c r="O78" i="2"/>
  <c r="N78" i="2"/>
  <c r="Q77" i="2"/>
  <c r="P77" i="2"/>
  <c r="O77" i="2"/>
  <c r="N77" i="2"/>
  <c r="P76" i="2"/>
  <c r="Q76" i="2"/>
  <c r="O76" i="2"/>
  <c r="N76" i="2"/>
  <c r="Q75" i="2"/>
  <c r="P75" i="2"/>
  <c r="O75" i="2"/>
  <c r="N75" i="2"/>
  <c r="P116" i="2"/>
  <c r="O74" i="2"/>
  <c r="N74" i="2"/>
  <c r="Q74" i="2"/>
  <c r="Q20" i="2"/>
  <c r="U13" i="2"/>
  <c r="T13" i="2"/>
  <c r="S13" i="2"/>
  <c r="R13" i="2"/>
  <c r="I46" i="2"/>
  <c r="K46" i="2"/>
  <c r="I45" i="2"/>
  <c r="I44" i="2"/>
  <c r="P145" i="2"/>
  <c r="P74" i="2"/>
  <c r="Q12" i="2"/>
  <c r="Q15" i="2"/>
  <c r="Q13" i="2"/>
  <c r="I28" i="1"/>
  <c r="K40" i="2"/>
  <c r="K28" i="1"/>
  <c r="K41" i="2"/>
  <c r="E31" i="1"/>
  <c r="E32" i="1"/>
  <c r="E33" i="1"/>
  <c r="K72" i="1"/>
  <c r="K43" i="2"/>
  <c r="K42" i="2"/>
  <c r="AE29" i="2"/>
  <c r="E26" i="1"/>
  <c r="E27" i="1"/>
  <c r="C28" i="1"/>
  <c r="H26" i="1"/>
  <c r="H27" i="1"/>
  <c r="F28" i="1"/>
  <c r="D32" i="3"/>
  <c r="D31" i="3"/>
  <c r="D8" i="3"/>
  <c r="D29" i="3" s="1"/>
  <c r="K76" i="1"/>
  <c r="G76" i="1" s="1"/>
  <c r="N76" i="1" s="1"/>
  <c r="A22" i="1"/>
  <c r="K75" i="1"/>
  <c r="G75" i="1" s="1"/>
  <c r="N75" i="1" s="1"/>
  <c r="K74" i="1"/>
  <c r="K73" i="1"/>
  <c r="A21" i="1"/>
  <c r="G73" i="1"/>
  <c r="G74" i="1"/>
  <c r="C79" i="1"/>
  <c r="O32" i="1"/>
  <c r="N33" i="1"/>
  <c r="O31" i="1"/>
  <c r="I32" i="1"/>
  <c r="I31" i="1"/>
  <c r="H33" i="1"/>
  <c r="F33" i="1"/>
  <c r="G33" i="1"/>
  <c r="N2" i="1"/>
  <c r="K33" i="1"/>
  <c r="N28" i="1"/>
  <c r="M28" i="1"/>
  <c r="N48" i="1"/>
  <c r="K70" i="1"/>
  <c r="G70" i="1" s="1"/>
  <c r="N70" i="1" s="1"/>
  <c r="K69" i="1"/>
  <c r="G69" i="1" s="1"/>
  <c r="N69" i="1" s="1"/>
  <c r="G72" i="1"/>
  <c r="G71" i="1"/>
  <c r="K50" i="1"/>
  <c r="G50" i="1" s="1"/>
  <c r="N50" i="1" s="1"/>
  <c r="K54" i="1"/>
  <c r="G54" i="1" s="1"/>
  <c r="N54" i="1" s="1"/>
  <c r="K55" i="1"/>
  <c r="G55" i="1" s="1"/>
  <c r="N55" i="1" s="1"/>
  <c r="K56" i="1"/>
  <c r="G56" i="1" s="1"/>
  <c r="N56" i="1" s="1"/>
  <c r="K57" i="1"/>
  <c r="G57" i="1" s="1"/>
  <c r="N57" i="1" s="1"/>
  <c r="N14" i="1"/>
  <c r="K37" i="2"/>
  <c r="K21" i="2"/>
  <c r="K20" i="2"/>
  <c r="K10" i="2"/>
  <c r="K9" i="2"/>
  <c r="K67" i="1"/>
  <c r="G67" i="1" s="1"/>
  <c r="N67" i="1" s="1"/>
  <c r="K58" i="1"/>
  <c r="G58" i="1" s="1"/>
  <c r="N58" i="1" s="1"/>
  <c r="K61" i="1"/>
  <c r="G61" i="1" s="1"/>
  <c r="N61" i="1" s="1"/>
  <c r="K35" i="2"/>
  <c r="AD23" i="2"/>
  <c r="AF23" i="2"/>
  <c r="AF13" i="2"/>
  <c r="K7" i="2"/>
  <c r="AD22" i="2"/>
  <c r="AF22" i="2"/>
  <c r="K18" i="2"/>
  <c r="K29" i="2"/>
  <c r="K24" i="2"/>
  <c r="AF47" i="2"/>
  <c r="K6" i="2"/>
  <c r="K22" i="2"/>
  <c r="N82" i="1"/>
  <c r="K64" i="1"/>
  <c r="G64" i="1" s="1"/>
  <c r="N64" i="1" s="1"/>
  <c r="K5" i="2"/>
  <c r="K51" i="1"/>
  <c r="G51" i="1" s="1"/>
  <c r="N51" i="1" s="1"/>
  <c r="K4" i="2"/>
  <c r="K8" i="2"/>
  <c r="K2" i="2"/>
  <c r="K53" i="1"/>
  <c r="K52" i="1"/>
  <c r="G52" i="1" s="1"/>
  <c r="N52" i="1" s="1"/>
  <c r="K3" i="2"/>
  <c r="K34" i="2"/>
  <c r="K28" i="2"/>
  <c r="K65" i="1"/>
  <c r="G65" i="1" s="1"/>
  <c r="N65" i="1" s="1"/>
  <c r="AD24" i="2"/>
  <c r="AF24" i="2"/>
  <c r="D24" i="3"/>
  <c r="K23" i="2"/>
  <c r="K30" i="2"/>
  <c r="K31" i="2"/>
  <c r="K59" i="1"/>
  <c r="G59" i="1" s="1"/>
  <c r="N59" i="1" s="1"/>
  <c r="K25" i="2"/>
  <c r="K36" i="2"/>
  <c r="K15" i="2"/>
  <c r="K14" i="2"/>
  <c r="K60" i="1"/>
  <c r="G60" i="1" s="1"/>
  <c r="N60" i="1" s="1"/>
  <c r="K66" i="1"/>
  <c r="G66" i="1" s="1"/>
  <c r="N66" i="1" s="1"/>
  <c r="K13" i="2"/>
  <c r="K12" i="2"/>
  <c r="D7" i="3"/>
  <c r="K71" i="1"/>
  <c r="AF49" i="2"/>
  <c r="AF51" i="2" s="1"/>
  <c r="G53" i="1" l="1"/>
  <c r="N53" i="1" s="1"/>
  <c r="N13" i="1" s="1"/>
  <c r="AE41" i="2"/>
  <c r="AF41" i="2" s="1"/>
  <c r="AE40" i="2"/>
  <c r="AF40" i="2" s="1"/>
  <c r="AF14" i="2"/>
  <c r="AF16" i="2" s="1"/>
  <c r="AI16" i="2" s="1"/>
  <c r="N73" i="1"/>
  <c r="I2" i="2"/>
  <c r="K35" i="1" s="1"/>
  <c r="N35" i="1" s="1"/>
  <c r="N74" i="1"/>
  <c r="I19" i="2"/>
  <c r="I20" i="2"/>
  <c r="I4" i="2"/>
  <c r="K37" i="1" s="1"/>
  <c r="G37" i="1" s="1"/>
  <c r="I28" i="2"/>
  <c r="N71" i="1"/>
  <c r="N72" i="1"/>
  <c r="I36" i="2"/>
  <c r="I37" i="2"/>
  <c r="I25" i="2"/>
  <c r="I14" i="2"/>
  <c r="K46" i="1" s="1"/>
  <c r="G46" i="1" s="1"/>
  <c r="N46" i="1" s="1"/>
  <c r="I30" i="2"/>
  <c r="I12" i="2"/>
  <c r="K45" i="1" s="1"/>
  <c r="G45" i="1" s="1"/>
  <c r="N45" i="1" s="1"/>
  <c r="I13" i="2"/>
  <c r="I22" i="2"/>
  <c r="I5" i="2"/>
  <c r="K38" i="1" s="1"/>
  <c r="G38" i="1" s="1"/>
  <c r="I10" i="2"/>
  <c r="K43" i="1" s="1"/>
  <c r="G43" i="1" s="1"/>
  <c r="N43" i="1" s="1"/>
  <c r="I9" i="2"/>
  <c r="K42" i="1" s="1"/>
  <c r="G42" i="1" s="1"/>
  <c r="N42" i="1" s="1"/>
  <c r="I31" i="2"/>
  <c r="I8" i="2"/>
  <c r="K40" i="1" s="1"/>
  <c r="G40" i="1" s="1"/>
  <c r="I3" i="2"/>
  <c r="K36" i="1" s="1"/>
  <c r="G36" i="1" s="1"/>
  <c r="I6" i="2"/>
  <c r="I23" i="2"/>
  <c r="I29" i="2"/>
  <c r="I15" i="2"/>
  <c r="K47" i="1" s="1"/>
  <c r="G47" i="1" s="1"/>
  <c r="N47" i="1" s="1"/>
  <c r="I24" i="2"/>
  <c r="I21" i="2"/>
  <c r="I7" i="2"/>
  <c r="K39" i="1" s="1"/>
  <c r="I35" i="2"/>
  <c r="I34" i="2"/>
  <c r="I11" i="2"/>
  <c r="K44" i="1" s="1"/>
  <c r="G44" i="1" s="1"/>
  <c r="N44" i="1" s="1"/>
  <c r="N15" i="1"/>
  <c r="L209" i="2" l="1"/>
  <c r="AE35" i="2"/>
  <c r="AF35" i="2" s="1"/>
  <c r="AE32" i="2"/>
  <c r="AF32" i="2" s="1"/>
  <c r="AE33" i="2"/>
  <c r="AF33" i="2" s="1"/>
  <c r="AE34" i="2"/>
  <c r="AF34" i="2" s="1"/>
  <c r="M92" i="2" s="1"/>
  <c r="AE36" i="2"/>
  <c r="AF36" i="2" s="1"/>
  <c r="O104" i="2" s="1"/>
  <c r="L136" i="2" s="1"/>
  <c r="T25" i="2" s="1"/>
  <c r="AE39" i="2"/>
  <c r="AF39" i="2" s="1"/>
  <c r="L207" i="2" s="1"/>
  <c r="AE37" i="2"/>
  <c r="AF37" i="2" s="1"/>
  <c r="AE38" i="2"/>
  <c r="AF38" i="2" s="1"/>
  <c r="L206" i="2" s="1"/>
  <c r="Q40" i="2" s="1"/>
  <c r="I40" i="2" s="1"/>
  <c r="O95" i="2"/>
  <c r="O83" i="2"/>
  <c r="O89" i="2"/>
  <c r="O110" i="2"/>
  <c r="L141" i="2" s="1"/>
  <c r="U25" i="2" s="1"/>
  <c r="O97" i="2"/>
  <c r="O86" i="2"/>
  <c r="L118" i="2" s="1"/>
  <c r="Q25" i="2" s="1"/>
  <c r="O103" i="2"/>
  <c r="O92" i="2"/>
  <c r="L124" i="2" s="1"/>
  <c r="R25" i="2" s="1"/>
  <c r="O91" i="2"/>
  <c r="O82" i="2"/>
  <c r="M83" i="2"/>
  <c r="M85" i="2"/>
  <c r="Q8" i="2" s="1"/>
  <c r="M103" i="2"/>
  <c r="T8" i="2" s="1"/>
  <c r="M104" i="2"/>
  <c r="L110" i="2"/>
  <c r="L140" i="2" s="1"/>
  <c r="U23" i="2" s="1"/>
  <c r="L86" i="2"/>
  <c r="L117" i="2" s="1"/>
  <c r="Q23" i="2" s="1"/>
  <c r="L82" i="2"/>
  <c r="L109" i="2"/>
  <c r="L83" i="2"/>
  <c r="L101" i="2"/>
  <c r="L97" i="2"/>
  <c r="L91" i="2"/>
  <c r="L103" i="2"/>
  <c r="L89" i="2"/>
  <c r="L92" i="2"/>
  <c r="L123" i="2" s="1"/>
  <c r="R23" i="2" s="1"/>
  <c r="L184" i="2"/>
  <c r="R35" i="2" s="1"/>
  <c r="L98" i="2"/>
  <c r="L129" i="2" s="1"/>
  <c r="S23" i="2" s="1"/>
  <c r="L85" i="2"/>
  <c r="L107" i="2"/>
  <c r="L190" i="2"/>
  <c r="S35" i="2" s="1"/>
  <c r="L95" i="2"/>
  <c r="L104" i="2"/>
  <c r="L135" i="2" s="1"/>
  <c r="T23" i="2" s="1"/>
  <c r="R40" i="2"/>
  <c r="T40" i="2"/>
  <c r="S40" i="2"/>
  <c r="P97" i="2"/>
  <c r="S15" i="2" s="1"/>
  <c r="P82" i="2"/>
  <c r="P110" i="2"/>
  <c r="P101" i="2"/>
  <c r="P92" i="2"/>
  <c r="P91" i="2"/>
  <c r="R15" i="2" s="1"/>
  <c r="P86" i="2"/>
  <c r="P98" i="2"/>
  <c r="P109" i="2"/>
  <c r="U15" i="2" s="1"/>
  <c r="P83" i="2"/>
  <c r="P89" i="2"/>
  <c r="P104" i="2"/>
  <c r="P95" i="2"/>
  <c r="P103" i="2"/>
  <c r="T15" i="2" s="1"/>
  <c r="P107" i="2"/>
  <c r="Q41" i="2"/>
  <c r="I41" i="2" s="1"/>
  <c r="U41" i="2"/>
  <c r="R41" i="2"/>
  <c r="T41" i="2"/>
  <c r="S41" i="2"/>
  <c r="G35" i="1"/>
  <c r="N36" i="1"/>
  <c r="N37" i="1"/>
  <c r="N17" i="1"/>
  <c r="N40" i="1"/>
  <c r="N38" i="1"/>
  <c r="G39" i="1"/>
  <c r="N39" i="1"/>
  <c r="Q43" i="2" l="1"/>
  <c r="I43" i="2" s="1"/>
  <c r="T43" i="2"/>
  <c r="L208" i="2"/>
  <c r="S43" i="2"/>
  <c r="U43" i="2"/>
  <c r="R43" i="2"/>
  <c r="U40" i="2"/>
  <c r="L202" i="2"/>
  <c r="M82" i="2"/>
  <c r="M91" i="2"/>
  <c r="R8" i="2" s="1"/>
  <c r="M86" i="2"/>
  <c r="M101" i="2"/>
  <c r="O109" i="2"/>
  <c r="O107" i="2"/>
  <c r="L203" i="2" s="1"/>
  <c r="O98" i="2"/>
  <c r="O101" i="2"/>
  <c r="L197" i="2" s="1"/>
  <c r="T37" i="2" s="1"/>
  <c r="M109" i="2"/>
  <c r="U8" i="2" s="1"/>
  <c r="M110" i="2"/>
  <c r="M98" i="2"/>
  <c r="M107" i="2"/>
  <c r="K104" i="2"/>
  <c r="L133" i="2" s="1"/>
  <c r="T22" i="2" s="1"/>
  <c r="K86" i="2"/>
  <c r="L115" i="2" s="1"/>
  <c r="Q22" i="2" s="1"/>
  <c r="K92" i="2"/>
  <c r="L121" i="2" s="1"/>
  <c r="R22" i="2" s="1"/>
  <c r="K95" i="2"/>
  <c r="K107" i="2"/>
  <c r="K102" i="2"/>
  <c r="K108" i="2"/>
  <c r="K98" i="2"/>
  <c r="L127" i="2" s="1"/>
  <c r="S22" i="2" s="1"/>
  <c r="K83" i="2"/>
  <c r="K89" i="2"/>
  <c r="K90" i="2"/>
  <c r="K101" i="2"/>
  <c r="L194" i="2"/>
  <c r="T34" i="2" s="1"/>
  <c r="K82" i="2"/>
  <c r="K96" i="2"/>
  <c r="K110" i="2"/>
  <c r="L138" i="2" s="1"/>
  <c r="U22" i="2" s="1"/>
  <c r="K84" i="2"/>
  <c r="M95" i="2"/>
  <c r="M89" i="2"/>
  <c r="M97" i="2"/>
  <c r="S8" i="2" s="1"/>
  <c r="N110" i="2"/>
  <c r="L139" i="2" s="1"/>
  <c r="U24" i="2" s="1"/>
  <c r="N101" i="2"/>
  <c r="N107" i="2"/>
  <c r="N96" i="2"/>
  <c r="N82" i="2"/>
  <c r="N98" i="2"/>
  <c r="L128" i="2" s="1"/>
  <c r="S24" i="2" s="1"/>
  <c r="N102" i="2"/>
  <c r="N92" i="2"/>
  <c r="L122" i="2" s="1"/>
  <c r="R24" i="2" s="1"/>
  <c r="N90" i="2"/>
  <c r="N89" i="2"/>
  <c r="N95" i="2"/>
  <c r="N108" i="2"/>
  <c r="N104" i="2"/>
  <c r="L134" i="2" s="1"/>
  <c r="T24" i="2" s="1"/>
  <c r="N86" i="2"/>
  <c r="L116" i="2" s="1"/>
  <c r="Q24" i="2" s="1"/>
  <c r="U35" i="2"/>
  <c r="U37" i="2"/>
  <c r="L158" i="2"/>
  <c r="S29" i="2"/>
  <c r="P146" i="2"/>
  <c r="P117" i="2"/>
  <c r="Q19" i="2" s="1"/>
  <c r="Q7" i="2"/>
  <c r="L152" i="2"/>
  <c r="R29" i="2"/>
  <c r="T29" i="2"/>
  <c r="L164" i="2"/>
  <c r="Q10" i="2"/>
  <c r="R10" i="2"/>
  <c r="U10" i="2"/>
  <c r="T10" i="2"/>
  <c r="S10" i="2"/>
  <c r="L171" i="2"/>
  <c r="S31" i="2"/>
  <c r="L159" i="2"/>
  <c r="T7" i="2"/>
  <c r="P164" i="2"/>
  <c r="P135" i="2"/>
  <c r="T19" i="2" s="1"/>
  <c r="L146" i="2"/>
  <c r="Q29" i="2"/>
  <c r="U3" i="2"/>
  <c r="O85" i="2"/>
  <c r="T3" i="2"/>
  <c r="N85" i="2"/>
  <c r="Q3" i="2"/>
  <c r="R3" i="2"/>
  <c r="S3" i="2"/>
  <c r="U4" i="2"/>
  <c r="S4" i="2"/>
  <c r="T4" i="2"/>
  <c r="R4" i="2"/>
  <c r="Q4" i="2"/>
  <c r="P153" i="2"/>
  <c r="R14" i="2"/>
  <c r="P124" i="2"/>
  <c r="R21" i="2" s="1"/>
  <c r="T31" i="2"/>
  <c r="L165" i="2"/>
  <c r="T11" i="2"/>
  <c r="S11" i="2"/>
  <c r="U11" i="2"/>
  <c r="R11" i="2"/>
  <c r="Q11" i="2"/>
  <c r="L170" i="2"/>
  <c r="U29" i="2"/>
  <c r="P152" i="2"/>
  <c r="R7" i="2"/>
  <c r="P123" i="2"/>
  <c r="R19" i="2" s="1"/>
  <c r="U7" i="2"/>
  <c r="P140" i="2"/>
  <c r="U19" i="2" s="1"/>
  <c r="P170" i="2"/>
  <c r="P141" i="2"/>
  <c r="U21" i="2" s="1"/>
  <c r="U14" i="2"/>
  <c r="P171" i="2"/>
  <c r="P159" i="2"/>
  <c r="P130" i="2"/>
  <c r="S21" i="2" s="1"/>
  <c r="S14" i="2"/>
  <c r="L153" i="2"/>
  <c r="R31" i="2"/>
  <c r="L178" i="2"/>
  <c r="Q35" i="2" s="1"/>
  <c r="S7" i="2"/>
  <c r="P158" i="2"/>
  <c r="P129" i="2"/>
  <c r="S19" i="2" s="1"/>
  <c r="L196" i="2"/>
  <c r="T35" i="2" s="1"/>
  <c r="L179" i="2"/>
  <c r="Q37" i="2" s="1"/>
  <c r="L185" i="2"/>
  <c r="R37" i="2" s="1"/>
  <c r="T14" i="2"/>
  <c r="P165" i="2"/>
  <c r="P136" i="2"/>
  <c r="T21" i="2" s="1"/>
  <c r="Q31" i="2"/>
  <c r="L147" i="2"/>
  <c r="N77" i="1"/>
  <c r="N11" i="1"/>
  <c r="N19" i="1" s="1"/>
  <c r="T42" i="2" l="1"/>
  <c r="R42" i="2"/>
  <c r="S42" i="2"/>
  <c r="U42" i="2"/>
  <c r="Q42" i="2"/>
  <c r="I42" i="2" s="1"/>
  <c r="P139" i="2"/>
  <c r="U20" i="2" s="1"/>
  <c r="U12" i="2"/>
  <c r="P169" i="2"/>
  <c r="Q5" i="2"/>
  <c r="P144" i="2"/>
  <c r="P115" i="2"/>
  <c r="Q18" i="2" s="1"/>
  <c r="R28" i="2"/>
  <c r="L150" i="2"/>
  <c r="P162" i="2"/>
  <c r="P133" i="2"/>
  <c r="T18" i="2" s="1"/>
  <c r="T5" i="2"/>
  <c r="U31" i="2"/>
  <c r="L189" i="2"/>
  <c r="S36" i="2" s="1"/>
  <c r="S30" i="2"/>
  <c r="L157" i="2"/>
  <c r="T12" i="2"/>
  <c r="P134" i="2"/>
  <c r="T20" i="2" s="1"/>
  <c r="P163" i="2"/>
  <c r="S12" i="2"/>
  <c r="P157" i="2"/>
  <c r="P128" i="2"/>
  <c r="S20" i="2" s="1"/>
  <c r="T28" i="2"/>
  <c r="L162" i="2"/>
  <c r="Q28" i="2"/>
  <c r="L176" i="2"/>
  <c r="Q34" i="2" s="1"/>
  <c r="L144" i="2"/>
  <c r="U28" i="2"/>
  <c r="L168" i="2"/>
  <c r="L200" i="2"/>
  <c r="U34" i="2" s="1"/>
  <c r="S9" i="2"/>
  <c r="U9" i="2"/>
  <c r="T9" i="2"/>
  <c r="N83" i="2"/>
  <c r="R9" i="2"/>
  <c r="L183" i="2"/>
  <c r="R36" i="2" s="1"/>
  <c r="R30" i="2"/>
  <c r="L151" i="2"/>
  <c r="L201" i="2"/>
  <c r="U36" i="2" s="1"/>
  <c r="U30" i="2"/>
  <c r="L169" i="2"/>
  <c r="P127" i="2"/>
  <c r="S18" i="2" s="1"/>
  <c r="S5" i="2"/>
  <c r="P156" i="2"/>
  <c r="L182" i="2"/>
  <c r="R34" i="2" s="1"/>
  <c r="S28" i="2"/>
  <c r="L156" i="2"/>
  <c r="L188" i="2"/>
  <c r="S34" i="2" s="1"/>
  <c r="R12" i="2"/>
  <c r="P122" i="2"/>
  <c r="R20" i="2" s="1"/>
  <c r="P151" i="2"/>
  <c r="T30" i="2"/>
  <c r="L163" i="2"/>
  <c r="L195" i="2"/>
  <c r="T36" i="2" s="1"/>
  <c r="R2" i="2"/>
  <c r="T2" i="2"/>
  <c r="Q2" i="2"/>
  <c r="S2" i="2"/>
  <c r="U2" i="2"/>
  <c r="R5" i="2"/>
  <c r="P121" i="2"/>
  <c r="R18" i="2" s="1"/>
  <c r="P150" i="2"/>
  <c r="U5" i="2"/>
  <c r="P138" i="2"/>
  <c r="U18" i="2" s="1"/>
  <c r="P168" i="2"/>
  <c r="L130" i="2"/>
  <c r="S25" i="2" s="1"/>
  <c r="L191" i="2"/>
  <c r="S37" i="2" s="1"/>
  <c r="P118" i="2"/>
  <c r="Q21" i="2" s="1"/>
  <c r="Q14" i="2"/>
  <c r="P147" i="2"/>
  <c r="Q9" i="2" l="1"/>
  <c r="L145" i="2"/>
  <c r="Q30" i="2"/>
  <c r="L177" i="2"/>
  <c r="Q36" i="2" s="1"/>
</calcChain>
</file>

<file path=xl/sharedStrings.xml><?xml version="1.0" encoding="utf-8"?>
<sst xmlns="http://schemas.openxmlformats.org/spreadsheetml/2006/main" count="1940" uniqueCount="1226">
  <si>
    <t>maatstaf bodemgesteldheid ten behoeve van de algemene uitkering uit het gemeentefonds. De bodempercentages t.g.v. samenvoegingen van gemeenten</t>
  </si>
  <si>
    <t>zijn berekend tot 1 januari 2009</t>
  </si>
  <si>
    <t xml:space="preserve">Richtlijn voor gemeenten en aanbieders van telecom diensten ten behoeve van het berekenen van tarieven voor herstel, onderhoud, beheer- en </t>
  </si>
  <si>
    <t xml:space="preserve">  Postbus 253, 1430 AG  AALSMEER</t>
  </si>
  <si>
    <t xml:space="preserve">  Postbus 2,  9285 ZV  BUITENPOST</t>
  </si>
  <si>
    <t xml:space="preserve">  Postbus 93,  9460 AB  GIETEN</t>
  </si>
  <si>
    <t>Zoetermeer</t>
  </si>
  <si>
    <t xml:space="preserve">  Postbus 90150,  5600 RB  EINDHOVEN</t>
  </si>
  <si>
    <t xml:space="preserve">  Postbus 9110,  6994 ZJ  DE STEEG</t>
  </si>
  <si>
    <t xml:space="preserve">  Postbus 15,  2700 AA  ZOETERMEER</t>
  </si>
  <si>
    <t>Sluis</t>
  </si>
  <si>
    <t xml:space="preserve">  Postbus 450,  6100 AL  ECHT</t>
  </si>
  <si>
    <t xml:space="preserve">  Postbus 40,  4260 AA  WIJK EN AALBURG</t>
  </si>
  <si>
    <t xml:space="preserve">  Postbus 119,  7120 AC  AALTEN</t>
  </si>
  <si>
    <t xml:space="preserve">  Postbus 1000,  3160 GA  RHOON</t>
  </si>
  <si>
    <t xml:space="preserve">  Postbus 2,  2950 AA  ALBLASSERDAM</t>
  </si>
  <si>
    <t xml:space="preserve">  Postbus 5,  9480 AA VRIES</t>
  </si>
  <si>
    <t xml:space="preserve">  Postbus 53,  1800 BC  ALKMAAR</t>
  </si>
  <si>
    <t xml:space="preserve">  Postbus  200,  1300 AE  ALMERE</t>
  </si>
  <si>
    <t xml:space="preserve">  Postbus 13,  2400 AA  ALPHEN AAN DE RIJN</t>
  </si>
  <si>
    <t xml:space="preserve">  Postbus 3,  5130 AA  ALPHEN</t>
  </si>
  <si>
    <t xml:space="preserve">  Postbus 22,  9160 AA  HOLLUM</t>
  </si>
  <si>
    <t xml:space="preserve">  Postbus 4000,  3800 EA  AMERSFOORT</t>
  </si>
  <si>
    <t xml:space="preserve">  Postbus 4,  1180 BA  AMSTELVEEN</t>
  </si>
  <si>
    <t xml:space="preserve">  Postbus 202,  1000 AE  AMSTERDAM</t>
  </si>
  <si>
    <t xml:space="preserve">  Postbus 9033,  7300 ES  APELDOORN</t>
  </si>
  <si>
    <t xml:space="preserve">  Postbus 9029, 6800 EL  ARNHEM</t>
  </si>
  <si>
    <t xml:space="preserve">  Postbus 290,  5720 AG  ASTEN</t>
  </si>
  <si>
    <t xml:space="preserve">  Postbus 105,  5110 AC  BAARLE-NASSAU</t>
  </si>
  <si>
    <t xml:space="preserve">  Postbus 1003,  3740 BA  BAARN</t>
  </si>
  <si>
    <t xml:space="preserve">  Postbus 501,  2990 EA  BARENDRECHT</t>
  </si>
  <si>
    <t xml:space="preserve">  Postbus 63,  3770 AB  BARNEVELD</t>
  </si>
  <si>
    <t xml:space="preserve">  Postbus 20,  6190 AA  BEEK</t>
  </si>
  <si>
    <t xml:space="preserve">  Postbus 7,  1462 ZG  MIDDENBEEMSTER</t>
  </si>
  <si>
    <t xml:space="preserve">  Postbus 4750,  5953 ZK  REUVER</t>
  </si>
  <si>
    <t xml:space="preserve">  Postbus 18,  9698 ZG  WEDDE</t>
  </si>
  <si>
    <t xml:space="preserve">  Postbus 10000,  5570 GA  BERGEIJK</t>
  </si>
  <si>
    <t xml:space="preserve">  Postbus 140,  5854 ZJ  BERGEN (L.)</t>
  </si>
  <si>
    <t xml:space="preserve">  Postbus 175,  1860 AD  BERGEN (NH.)</t>
  </si>
  <si>
    <t xml:space="preserve">  Postbus 35,  4600 AA  BERGEN OP ZOOM</t>
  </si>
  <si>
    <t xml:space="preserve">  Postbus 19,  5384 ZG  HEESH</t>
  </si>
  <si>
    <t xml:space="preserve">  Postbus 50,  5680 AB  BEST</t>
  </si>
  <si>
    <t xml:space="preserve">  Postbus 14,  6640 AA  BEUNINGEN</t>
  </si>
  <si>
    <t xml:space="preserve">  Postbus 450,  1940 AL  BEVERWIJK </t>
  </si>
  <si>
    <t xml:space="preserve">  Postbus 5455,  3299 ZH  MAASDAM</t>
  </si>
  <si>
    <t xml:space="preserve">  Postbus 11,  5530 AA BLADEL</t>
  </si>
  <si>
    <t xml:space="preserve">  Postbus 125,  1260 AC  BLARICUM</t>
  </si>
  <si>
    <t xml:space="preserve">  Postbus 201,  2050 AE  OVERVEEN</t>
  </si>
  <si>
    <t xml:space="preserve">  Postbus 401,  2410 AK  BODEGRAVEN</t>
  </si>
  <si>
    <t xml:space="preserve">  Postbus 99,  5427 ZH  BOEKEL</t>
  </si>
  <si>
    <t xml:space="preserve">  Postbus 1,  4450 AA  HEINKENSZAND</t>
  </si>
  <si>
    <t xml:space="preserve">  Postbus 450,  5830 AL  BOXMEER</t>
  </si>
  <si>
    <t xml:space="preserve">  Postbus 90156,  4800 RH  BREDA</t>
  </si>
  <si>
    <t xml:space="preserve">  Postbus 101,  3230 AC  BRIELLE</t>
  </si>
  <si>
    <t xml:space="preserve">  Postbus 5,  6970 BV  BRUMMEN</t>
  </si>
  <si>
    <t xml:space="preserve">  Postbus 250,  6440 AG  BRUNSSUM</t>
  </si>
  <si>
    <t xml:space="preserve">  Postbus 5,  3980 CA  BUNNINK</t>
  </si>
  <si>
    <t xml:space="preserve">  Postbus 200,  3750 GE  BUNSCHOTEN</t>
  </si>
  <si>
    <t xml:space="preserve">  Postbus 15,  4033 ZG  LIENDEN</t>
  </si>
  <si>
    <t>Geldrop-Mierlo</t>
  </si>
  <si>
    <t>Ooststellingwerf</t>
  </si>
  <si>
    <t>Sittard-Geleen</t>
  </si>
  <si>
    <t>Utrecht</t>
  </si>
  <si>
    <t>De Friese Meren</t>
  </si>
  <si>
    <t xml:space="preserve">  Postbus 101,  8500 AC JOURE</t>
  </si>
  <si>
    <t>Menaldumadiel</t>
  </si>
  <si>
    <t xml:space="preserve">  Postbus 6000,  1400 HA  BUSSUM</t>
  </si>
  <si>
    <t xml:space="preserve">  Postbus 70,  2900 AB CAPELLE AAN DE IJSSEL</t>
  </si>
  <si>
    <t xml:space="preserve">  Postbus 1301,  1900 BH  CASTRICUM</t>
  </si>
  <si>
    <t xml:space="preserve">  Postbus 2090,  6020 AB  BUDEL</t>
  </si>
  <si>
    <t>Westland</t>
  </si>
  <si>
    <t xml:space="preserve">  Postbus 7400,  3280 AE  NUMANSDORP</t>
  </si>
  <si>
    <t xml:space="preserve">  Postbus 10001,  5430 DA  CUIJK</t>
  </si>
  <si>
    <t xml:space="preserve">  Postbus 136,  4100 AC  CULEMBERG</t>
  </si>
  <si>
    <t xml:space="preserve">  Postbus 22,  9104 BR  DAMWOUDE</t>
  </si>
  <si>
    <t xml:space="preserve">  Postbus 300,  3720 AH  BILTHOVEN</t>
  </si>
  <si>
    <t xml:space="preserve">  Postbus 78,  2600 ME  DELFT</t>
  </si>
  <si>
    <t xml:space="preserve">  Postbus 36,  1780 AA  DEN  HELDER</t>
  </si>
  <si>
    <t xml:space="preserve">  Postbus 3,  5750 AA  DEURNE</t>
  </si>
  <si>
    <t xml:space="preserve">  Postbus 47,  6940 BA  DIDAM</t>
  </si>
  <si>
    <t xml:space="preserve">  Postbus 191,  1110 AD  DIEMEN</t>
  </si>
  <si>
    <t xml:space="preserve">  Postbus 100,  6980 AC  DOESBURG</t>
  </si>
  <si>
    <t xml:space="preserve">  Postbus 9020,  7000 HA  DOETINCHEM</t>
  </si>
  <si>
    <t xml:space="preserve">  Postbus 10153,  5100 GE  DONGEN</t>
  </si>
  <si>
    <t xml:space="preserve">  Postbus 1,  9100 AA  DOKKUM</t>
  </si>
  <si>
    <t xml:space="preserve">  Postbus 8,  3300 AA  DORDRECHT</t>
  </si>
  <si>
    <t>huidige tarief:</t>
  </si>
  <si>
    <t>uurtarieven en loonkosten*</t>
  </si>
  <si>
    <t>*</t>
  </si>
  <si>
    <t xml:space="preserve">  Postbus 19, 4920 AA  MADE</t>
  </si>
  <si>
    <t xml:space="preserve">  Postbus 100,  8250 AC  DRONTEN</t>
  </si>
  <si>
    <t xml:space="preserve">  Postbus 1,  6650 AA  DRUTEN</t>
  </si>
  <si>
    <t xml:space="preserve">  Postbus 6,  6920 AA  DUIVEN</t>
  </si>
  <si>
    <t xml:space="preserve">  Postbus 180, 1130 AD  VOLENDAM</t>
  </si>
  <si>
    <t xml:space="preserve">  Postbus 9022,  6710 HK  EDE</t>
  </si>
  <si>
    <t xml:space="preserve">  Postbus 71,  3755 AN  EEMNES</t>
  </si>
  <si>
    <t xml:space="preserve">  Postbus 12,  5520 AA  EERSEL</t>
  </si>
  <si>
    <t xml:space="preserve">  Postbus 70,  8080 AB  ELBURG</t>
  </si>
  <si>
    <t>Kaag en Braassem</t>
  </si>
  <si>
    <t xml:space="preserve">  Postbus 1, 2370 AA ROELOFARENDSVEEN</t>
  </si>
  <si>
    <t>Maasgouw</t>
  </si>
  <si>
    <t xml:space="preserve">  Postbus 7000,  6050 AA MAASBRACHT</t>
  </si>
  <si>
    <t xml:space="preserve">  Postbus 54,  7470 AB  GOOR</t>
  </si>
  <si>
    <t xml:space="preserve">"RICHTLIJN tarieven (graaf) werkzaamheden Telecom", uitgegeven: 12 maart 2004. </t>
  </si>
  <si>
    <t>De wijze van de sleufbreedte is als volgt gedefinieerd:</t>
  </si>
  <si>
    <t>- de werkelijke sleufbreedte, deze wordt tijdens de uitvoering gemeten</t>
  </si>
  <si>
    <t>* de werkelijke sleufbreedte wordt ingevoerd in het rekenblad</t>
  </si>
  <si>
    <t xml:space="preserve">* de gatvergroting wordt niet in oppervlak uitgedrukt maar is 20% van de uitvoeringskosten </t>
  </si>
  <si>
    <t xml:space="preserve">Geen sleufbreedte gemeten  </t>
  </si>
  <si>
    <t>* het rekenblad berekent de gatvergroting ( tegels, klinkers aan beide zijden van de sleuf )</t>
  </si>
  <si>
    <t xml:space="preserve">  Postbus 11,  1600 AA  ENKHUIZEN</t>
  </si>
  <si>
    <t>Factuuradres:</t>
  </si>
  <si>
    <t>……………………………………………………………………………………………………….</t>
  </si>
  <si>
    <t xml:space="preserve">  Postbus 600,  8160 AP  EPE</t>
  </si>
  <si>
    <t xml:space="preserve">  Postbus 500, 3850 AM  ERMELO</t>
  </si>
  <si>
    <t xml:space="preserve">  Postbus 10100,  4870 GA  ETTEN-LEUR</t>
  </si>
  <si>
    <t xml:space="preserve">  Postbus 2,  9172 ZS  FERWERT</t>
  </si>
  <si>
    <t xml:space="preserve">  Postbus 10001,  4940 GA  RAAMSDONKSVEER</t>
  </si>
  <si>
    <t xml:space="preserve">  Postbus 112,  4190 CG  GELDERMALSEN</t>
  </si>
  <si>
    <t xml:space="preserve">  Postbus 10101, 5660 GA  GELDROP</t>
  </si>
  <si>
    <t xml:space="preserve">  Postbus 10000,  5420 DA  GEMERT</t>
  </si>
  <si>
    <t xml:space="preserve">  Postbus 9003,  6590 HD  GENNEP</t>
  </si>
  <si>
    <t xml:space="preserve">  Postbus 1,  4223 ZG  HOORNAAR</t>
  </si>
  <si>
    <t xml:space="preserve">  Postbus 73, 5120 AB  RIJEN</t>
  </si>
  <si>
    <t xml:space="preserve">  Postbus 2118,  4460 MC  GOES</t>
  </si>
  <si>
    <t xml:space="preserve">  Postbus 17,  5050 AA  GOIRLE</t>
  </si>
  <si>
    <t xml:space="preserve">  Postbus 108,  4200 AC  GORINCHEM</t>
  </si>
  <si>
    <t xml:space="preserve">  Postbus 1086,  2800 BB  GOUDA</t>
  </si>
  <si>
    <t xml:space="preserve">  Postbus 7,  5360 AA  GRAVE</t>
  </si>
  <si>
    <t xml:space="preserve">  Postbus 12600,  2500 DJ  DEN HAAG</t>
  </si>
  <si>
    <t xml:space="preserve">  Postbus 20,  6560 AA  GROESBEEK</t>
  </si>
  <si>
    <t xml:space="preserve">  Postbus 56,  6270 AB  GULPEN</t>
  </si>
  <si>
    <t xml:space="preserve">  Postbus 44,  5076 ZG  HAAREN</t>
  </si>
  <si>
    <t xml:space="preserve">  Postbus 511,  2003 PB  HAARLEM</t>
  </si>
  <si>
    <t xml:space="preserve">  Postbus 83,  1160 AB  ZWANENBURG</t>
  </si>
  <si>
    <t xml:space="preserve">  Postbus 250,  2130 AG  HOOFDDORP</t>
  </si>
  <si>
    <t xml:space="preserve">  Postbus 5,  4730 AA  OUDENBOSCH</t>
  </si>
  <si>
    <t xml:space="preserve">  Postbus 149,  3840 AC  HARDERWIJK</t>
  </si>
  <si>
    <t xml:space="preserve">  Postbus 175,  3370 AD  HARDINXVELD-GIESSENDAM</t>
  </si>
  <si>
    <t xml:space="preserve">  Postbus 93,  8050 AB  HATTUM</t>
  </si>
  <si>
    <t xml:space="preserve">  Postbus 39,  1960 AA  HEEMSKERK</t>
  </si>
  <si>
    <t xml:space="preserve">  Postbus 352,  2100 AJ HEEMSTEDE</t>
  </si>
  <si>
    <t xml:space="preserve">  Postbus 175,  8180 AD  HEERDE</t>
  </si>
  <si>
    <t xml:space="preserve">  Postbus 15000,  8440 GA HEERENVEEN</t>
  </si>
  <si>
    <t xml:space="preserve">  Postbus 390,  1700 AJ  HEERHUGOWAARD</t>
  </si>
  <si>
    <t xml:space="preserve">  Postbus 1,  6400 AA  HEERLEN</t>
  </si>
  <si>
    <t xml:space="preserve">  Postbus 10000,  5590 GA  HEEZE</t>
  </si>
  <si>
    <t xml:space="preserve">  Postbus 1,  1850 AA  HEILOO </t>
  </si>
  <si>
    <t>…………………………………………………………………………………………………..</t>
  </si>
  <si>
    <t>………………</t>
  </si>
  <si>
    <t>…………….</t>
  </si>
  <si>
    <t>In te vullen gegevens:</t>
  </si>
  <si>
    <t>= Richtlijn tarief</t>
  </si>
  <si>
    <t>= Af te spreken projektprijs</t>
  </si>
  <si>
    <t>Kontaktpersoon:</t>
  </si>
  <si>
    <t>…………………..</t>
  </si>
  <si>
    <t>………………………</t>
  </si>
  <si>
    <t>Boekje: 1</t>
  </si>
  <si>
    <t>GWW Kosten:</t>
  </si>
  <si>
    <t>Straatmaker groep D, inzittende werkbus:</t>
  </si>
  <si>
    <t>Straatmaker groep B, inzittende werkbus:</t>
  </si>
  <si>
    <t>Boekje 2:</t>
  </si>
  <si>
    <t>Herstel en onderhoud door de aanbieder</t>
  </si>
  <si>
    <t>Funderingslagen en elementverhardingen</t>
  </si>
  <si>
    <t>Straatklinkers WF kwaliteit A4-12 tot en  met 5000 stuks</t>
  </si>
  <si>
    <t>Straatklinkers KK 80 kwaliteit A4-12 tot en  met 5000 stuks</t>
  </si>
  <si>
    <t>Straatstenen, gebakken</t>
  </si>
  <si>
    <t>Straatstenen, beton:</t>
  </si>
  <si>
    <t>Betonstraatstenen KF, heide, 210 x 105 x 80 mm volle vracht</t>
  </si>
  <si>
    <t>Tegels beton:</t>
  </si>
  <si>
    <t>Betontegels, 300 x 300 x 45mm komo, grijs</t>
  </si>
  <si>
    <t>Betontegels, 300 x 300 x 80mm komo, grijs</t>
  </si>
  <si>
    <t>Straatzand:</t>
  </si>
  <si>
    <t>Straatzand 10 - 25m3</t>
  </si>
  <si>
    <t>Boekje 3:</t>
  </si>
  <si>
    <t>Groenvoorzieningen</t>
  </si>
  <si>
    <t>Uurtarief Cultuurtechnisch medewerker</t>
  </si>
  <si>
    <t>Graszaad, bermmengsel, tot 200kg</t>
  </si>
  <si>
    <t>Graszaad, gazonmengsel, tot 200kg</t>
  </si>
  <si>
    <t>Gegevens uit: Uitgave Reed Business Informatie Bouw &amp; Infra.</t>
  </si>
  <si>
    <t>in te voeren:</t>
  </si>
  <si>
    <t>Transport , EVO berekening</t>
  </si>
  <si>
    <t>bijgewerkt dd :</t>
  </si>
  <si>
    <t>Invoerscherm:</t>
  </si>
  <si>
    <t xml:space="preserve">  Postbus 13,  3220 AA  HELLEVOETSLUIS</t>
  </si>
  <si>
    <t xml:space="preserve">  Postbus 950,  5700 AZ  HELMOND</t>
  </si>
  <si>
    <t xml:space="preserve">  Postbus 34,  3340 AA  HENDRIK-IDO-AMBACHT</t>
  </si>
  <si>
    <t xml:space="preserve">  Postbus 12345,  5200 GZ  's HERTOGENBOSCH</t>
  </si>
  <si>
    <t xml:space="preserve">  Postbus 200,  6800 AZ  MALDEN</t>
  </si>
  <si>
    <t xml:space="preserve">  Postbus 31,  5250 AA  VLIJMEN</t>
  </si>
  <si>
    <t xml:space="preserve">  Postbus 32,  2180 AA  HILLEGOM</t>
  </si>
  <si>
    <t xml:space="preserve">  Postbus 3,  5080 AA  HILVARENBEEK</t>
  </si>
  <si>
    <t xml:space="preserve">  Postbus 9900,  12101 GM  HILVERSUM</t>
  </si>
  <si>
    <t xml:space="preserve">  Postbus 603,  1620 AR  HOORN</t>
  </si>
  <si>
    <t xml:space="preserve">  Postbus 6005,  5960 AA  HORST</t>
  </si>
  <si>
    <t xml:space="preserve">  Postbus 30,  3990 DA  HOUTEN</t>
  </si>
  <si>
    <t xml:space="preserve">  Postbus 5,  1270 AA  HUIZEN</t>
  </si>
  <si>
    <t xml:space="preserve">  Postbus 600, 6460 AP  KERKRADE</t>
  </si>
  <si>
    <t xml:space="preserve">  Postbus 49,  4560 AA  HULST</t>
  </si>
  <si>
    <t xml:space="preserve">  Postbus 26, 3400 AA  IJSSELSTEIN</t>
  </si>
  <si>
    <t xml:space="preserve">  Postbus 79,  4420 AC  KAPELLE</t>
  </si>
  <si>
    <t xml:space="preserve">  Postbus 589,  2220 AN  KATWIJK</t>
  </si>
  <si>
    <t xml:space="preserve">  Postbus 13,  9290 AA  KOLLUM</t>
  </si>
  <si>
    <t xml:space="preserve">  Postbus 3708,  3265 ZG  PIERSHIL</t>
  </si>
  <si>
    <t xml:space="preserve">  Postbus 200,  2922 AE  KRIMPEN AAN DE IJSSEL</t>
  </si>
  <si>
    <t xml:space="preserve">  Postbus 190,  5740 AD  BEEK EN DONK</t>
  </si>
  <si>
    <t xml:space="preserve">  Postbus 35, 5410 AA  ZEELAND</t>
  </si>
  <si>
    <t xml:space="preserve">  Postbus 31000,  6370 AA  LANDGRAAF</t>
  </si>
  <si>
    <t xml:space="preserve">  Postbus 1,  1120 AA  LANDSMEER</t>
  </si>
  <si>
    <t xml:space="preserve">  Postbus 15,  1723 ZG  NOORD-SCHARWOUDE</t>
  </si>
  <si>
    <t xml:space="preserve">  Postbus 5,  1250 AA  LAREN</t>
  </si>
  <si>
    <t xml:space="preserve">  Postbus 15, 4140 AA  LEERDAM</t>
  </si>
  <si>
    <t xml:space="preserve">  Postbus 21000,  8900 JA  LEEUWARDEN</t>
  </si>
  <si>
    <t xml:space="preserve">  Postbus 24,  9050 AA  STIENS</t>
  </si>
  <si>
    <t xml:space="preserve">  Postbus 9100,  2300 PC  LEIDEN</t>
  </si>
  <si>
    <t xml:space="preserve">  Postbus 35,  2353 AA  LEIDERDORP</t>
  </si>
  <si>
    <t xml:space="preserve">  Postbus 905,  2270 AX  VOORBURG</t>
  </si>
  <si>
    <t xml:space="preserve">  Postbus 91,  8200 AB  LELYSTAD</t>
  </si>
  <si>
    <t xml:space="preserve">  Postbus 150,  3830 AD  LEUSDEN</t>
  </si>
  <si>
    <t xml:space="preserve">  Postbus 1014,  4147 ZG  ASPEREN</t>
  </si>
  <si>
    <t>Lingewaard</t>
  </si>
  <si>
    <t xml:space="preserve">  Postbus 15,  6680 AA  BEMMEL</t>
  </si>
  <si>
    <t xml:space="preserve">  Postbus 200,  2160 AE  LISSE</t>
  </si>
  <si>
    <t xml:space="preserve">  Postbus 17,  7240 AA  LOCHEM</t>
  </si>
  <si>
    <t xml:space="preserve">  Postbus 7,  5170 AA  KAATSHEUVEL</t>
  </si>
  <si>
    <t xml:space="preserve">  Postbus 50,  3410 CB  LOPIK</t>
  </si>
  <si>
    <t xml:space="preserve">  Postbus 10000,  5330 GA  KERKDRIEL</t>
  </si>
  <si>
    <t xml:space="preserve">  Postbus 55,  3140 AB  MAASSLUIS</t>
  </si>
  <si>
    <t xml:space="preserve">  Postbus 1992,  6201 BZ  MAASTRICHT</t>
  </si>
  <si>
    <t xml:space="preserve">  Postbus 7,  1670 AA  MEDEMBLIK</t>
  </si>
  <si>
    <t xml:space="preserve">  Postbus 90,  6230 AB  MEERSSEN</t>
  </si>
  <si>
    <t xml:space="preserve">  Postbus 3,  9036 ZW  MENALDUM</t>
  </si>
  <si>
    <t xml:space="preserve">  Postbus 6000,  430 LA  MIDDELBURG</t>
  </si>
  <si>
    <t xml:space="preserve">  Postbus 39,  5450 AA  MILL</t>
  </si>
  <si>
    <t xml:space="preserve">  Postbus 4,  4760 AA  ZEVENBERGEN</t>
  </si>
  <si>
    <t xml:space="preserve">  Postbus 41,  3417 ZG  MONTFOORT</t>
  </si>
  <si>
    <t xml:space="preserve">  Postbus 200,  6585 ZK  MOOK</t>
  </si>
  <si>
    <t xml:space="preserve">  Postbus 3,  1398 ZG  MUIDEN</t>
  </si>
  <si>
    <t xml:space="preserve">  Postbus 5000, 1410 AA  NAARDEN</t>
  </si>
  <si>
    <t xml:space="preserve">  Postbus 2728,  6030 AA  NEDERWEERT</t>
  </si>
  <si>
    <t xml:space="preserve">  Postbus 30,  4180 BA  WAARDENBURG</t>
  </si>
  <si>
    <t xml:space="preserve">  Postbus 1,  3430 AA  NIEUWEGEIN</t>
  </si>
  <si>
    <t xml:space="preserve">  Postbus 17,  2421 EB  NIEUWKOOP</t>
  </si>
  <si>
    <t xml:space="preserve">  Postbus 1000,  3860 BA  NIJKERK</t>
  </si>
  <si>
    <t xml:space="preserve">  Postbus 9105,  6500 HG  NIJMEGEN</t>
  </si>
  <si>
    <t xml:space="preserve">  Postbus 3,  4490 AA  WIISENKERKE</t>
  </si>
  <si>
    <t xml:space="preserve">  Postbus 298,  2200 AG  NOORDWIJK</t>
  </si>
  <si>
    <t xml:space="preserve">  Postbus 13,  2210 AA  NOORDWIJKERHOUT</t>
  </si>
  <si>
    <t xml:space="preserve">  Postbus 10000,  5670 GA  NUENEN</t>
  </si>
  <si>
    <t xml:space="preserve">  Postbus 22000,  6360 AA NUTH</t>
  </si>
  <si>
    <t xml:space="preserve">  Postbus 1270,  2340 BG  OEGSTGEEST</t>
  </si>
  <si>
    <t xml:space="preserve">  Postbus 11,  5688 ZG  OIRSCHOT</t>
  </si>
  <si>
    <t xml:space="preserve">  Postbus 10101,  5060 GA  OISTERWIJK</t>
  </si>
  <si>
    <t xml:space="preserve">  Postbus 2,  8096 ZG  OLDENBROEK</t>
  </si>
  <si>
    <t xml:space="preserve">  Postbus 1090,  6450 CB  SCHINVELD</t>
  </si>
  <si>
    <t xml:space="preserve">  Postbus 10150,  4900 GB  OOSTERHOUT</t>
  </si>
  <si>
    <t xml:space="preserve">  Postbus 15,  1510 AA  OOSTZAAN</t>
  </si>
  <si>
    <t xml:space="preserve">  Postbus 199,  1715 ZK  SPANBROEK</t>
  </si>
  <si>
    <t xml:space="preserve">  Postbus 5,  5340 BA  OSS</t>
  </si>
  <si>
    <t xml:space="preserve">  Postbus 2003,  3260 EA OUD-BEIJERLAND</t>
  </si>
  <si>
    <t xml:space="preserve">  Postbus 35,  1190 AA OUDERKERK AAN DE AMSTEL</t>
  </si>
  <si>
    <t xml:space="preserve">  Postbus 100,  3420 DC  OUDEWATER</t>
  </si>
  <si>
    <t xml:space="preserve">  Postbus 11,  6660 AA  ELST</t>
  </si>
  <si>
    <t xml:space="preserve">  Postbus 11,  3350 AA  PAPENDRECHT</t>
  </si>
  <si>
    <t xml:space="preserve">  Postbus 1, 2640 AA  PIJNACKER</t>
  </si>
  <si>
    <t xml:space="preserve">  Postbus 15,  1440 AA  PURMEREND</t>
  </si>
  <si>
    <t xml:space="preserve">  Postbus 400,  3880 AK  PUTTEN</t>
  </si>
  <si>
    <t>in cm</t>
  </si>
  <si>
    <t>……………………………….</t>
  </si>
  <si>
    <t>……………………………………………………………………</t>
  </si>
  <si>
    <t>………………………………….</t>
  </si>
  <si>
    <t xml:space="preserve">  Postbus 70,  4416 ZH  KRUININGEN</t>
  </si>
  <si>
    <t xml:space="preserve">  Postbus 9100,  6860 HA  OOSTERBEEK</t>
  </si>
  <si>
    <t xml:space="preserve">  Postbus 8,  3927 ZL  RENSWOUDE</t>
  </si>
  <si>
    <t xml:space="preserve">  Postbus 11,  5540 AA REUSEL</t>
  </si>
  <si>
    <t xml:space="preserve">  Postbus 201,  3910 AE  RHENEN</t>
  </si>
  <si>
    <t xml:space="preserve">  Postbus 271,  2980 AG  RIDDERKERK</t>
  </si>
  <si>
    <t xml:space="preserve">  Postbus 49,  6916 ZG  TOLKAMER</t>
  </si>
  <si>
    <t xml:space="preserve">  Postbus 5305,  2280 HH  RIJSWIJK</t>
  </si>
  <si>
    <t xml:space="preserve">  Postbus 6740,  6075 ZG  HERKENBOSCH</t>
  </si>
  <si>
    <t xml:space="preserve">  Postbus900,  6040 AX  ROERMOND</t>
  </si>
  <si>
    <t xml:space="preserve">  Postbus 5000,  4700 KA  ROOSENDAAL</t>
  </si>
  <si>
    <t xml:space="preserve">  Postbus 70012,  3000 KP  ROTTERDAM</t>
  </si>
  <si>
    <t xml:space="preserve">  Postbus 9106,  6880 HH VELP</t>
  </si>
  <si>
    <t xml:space="preserve">  Postbus 9,  4715 ZG  RUCPHEN</t>
  </si>
  <si>
    <t>per reparatie =&lt;50m²</t>
  </si>
  <si>
    <t>Neder-Betuwe</t>
  </si>
  <si>
    <t xml:space="preserve">  Postbus 8,  1740 AA  SCHAGEN</t>
  </si>
  <si>
    <t>&lt;= 50% slechte bodem:</t>
  </si>
  <si>
    <t>&gt;= 80% slechte bodem:</t>
  </si>
  <si>
    <t>Castircum</t>
  </si>
  <si>
    <t xml:space="preserve">  Postbus 100,  3925 ZJ  SCHERPENZEEL</t>
  </si>
  <si>
    <t xml:space="preserve">  Postbus 1501,  3100 EA  SCHIEDAM</t>
  </si>
  <si>
    <t xml:space="preserve">  Postbus 20,  9166 ZP  SCHIERMONNIKOOG</t>
  </si>
  <si>
    <t xml:space="preserve">  Postbus 5,  5480  AA  SCHIJNDEL</t>
  </si>
  <si>
    <t xml:space="preserve">  Postbus 50,  6365 ZH  SCHINNEN</t>
  </si>
  <si>
    <t xml:space="preserve">  Postbus 5555,  4300 AJ  ZIERIKZEE</t>
  </si>
  <si>
    <t xml:space="preserve">  Postbus 21000,  6369 ZG  SIMPELVELD</t>
  </si>
  <si>
    <t xml:space="preserve">  Postbus 40,  5845 ZG  SINT ANTHOnIS</t>
  </si>
  <si>
    <t xml:space="preserve">  Postbus 10000, 5270 GA  SINT-MICHIELSGESTEL</t>
  </si>
  <si>
    <t xml:space="preserve">  Postbus 18,  6130 AA  SITTARD</t>
  </si>
  <si>
    <t xml:space="preserve">  Postbus 16,  3360 AA  SLIEDReCHT</t>
  </si>
  <si>
    <t xml:space="preserve">  Postbus 27,  4500 AA  OOSTBURG</t>
  </si>
  <si>
    <t xml:space="preserve">  Postbus 10000,  9200 HA  DRACHTEN</t>
  </si>
  <si>
    <t xml:space="preserve">  Postbus 2000,  3760 CA  SOEST</t>
  </si>
  <si>
    <t xml:space="preserve">  Postbus 290, 5710 AG  SOMEREN</t>
  </si>
  <si>
    <t xml:space="preserve">  Postbus 8,  5690  AA  SON</t>
  </si>
  <si>
    <t xml:space="preserve">  Postbus 20,  1610 AA  BOVENKARSPEL</t>
  </si>
  <si>
    <t>Steenwijkerland</t>
  </si>
  <si>
    <t xml:space="preserve">  Postbus 15, 6170 AA  STEIN</t>
  </si>
  <si>
    <t xml:space="preserve">  Postbus 5881,  3290 EA  STRIJEN</t>
  </si>
  <si>
    <t>E-mail:</t>
  </si>
  <si>
    <t xml:space="preserve">  Postbus 35,  4530 AA  TERNEUZEN</t>
  </si>
  <si>
    <t xml:space="preserve">  Postbus 200, 1790 AE  DEN BURG</t>
  </si>
  <si>
    <t xml:space="preserve">  Postbus 9, 1616 ZG HOOGKARSPEL</t>
  </si>
  <si>
    <t xml:space="preserve">  Postbus 1, 2636 ZG SCHIPLUIDEN</t>
  </si>
  <si>
    <t xml:space="preserve">  Postbus 3,  9250 AA  BURGUM</t>
  </si>
  <si>
    <t xml:space="preserve">  Postbus 83,  5400 AB UDEN</t>
  </si>
  <si>
    <t xml:space="preserve">  Postbus 7,  1910 AA  UITGEEST</t>
  </si>
  <si>
    <t xml:space="preserve">  Postbus 8, 1420 AA  UITHOORN</t>
  </si>
  <si>
    <t xml:space="preserve">  Postbus 16200,  3500 CE  UTRECHT</t>
  </si>
  <si>
    <t xml:space="preserve">  Postbus 450,  6290 AL  VAALS</t>
  </si>
  <si>
    <t xml:space="preserve">  Postbus 998, 6300 AZ  VALKENBURG AAN DE GEUL</t>
  </si>
  <si>
    <t xml:space="preserve">  Postbus 10100,  5550 GA  VALKENSWAARD</t>
  </si>
  <si>
    <t xml:space="preserve">  Postbus 1100,  3900 BC  VEENENDAAL</t>
  </si>
  <si>
    <t xml:space="preserve">  Postbus 1000, 4357 ZV  DOMBURG</t>
  </si>
  <si>
    <t xml:space="preserve">  Postbus 10001,  5460 DA  VEGHEL</t>
  </si>
  <si>
    <t xml:space="preserve">  Postbus 465, 1970 AL  IJMUIDEN</t>
  </si>
  <si>
    <t xml:space="preserve">  Postbus 10101,  5500 GA  VELDHOVEN</t>
  </si>
  <si>
    <t>Tarief: A.</t>
  </si>
  <si>
    <t>Tarief: B 1 &amp; 2.</t>
  </si>
  <si>
    <t>Tarief: C.</t>
  </si>
  <si>
    <t>Tarief: D.</t>
  </si>
  <si>
    <t xml:space="preserve">  Postbus 500,  5800 AM  VENRAY</t>
  </si>
  <si>
    <t xml:space="preserve">  Postbus 3434,  5902 RK  VENLO</t>
  </si>
  <si>
    <t xml:space="preserve">  Postbus 46,  4130 EA  VIANEN</t>
  </si>
  <si>
    <t xml:space="preserve">  Postbus 3000,  4380 GV  VLISSINGEN</t>
  </si>
  <si>
    <t xml:space="preserve">  Postbus 23000,  6367 ZG  VOERENDAAL</t>
  </si>
  <si>
    <t xml:space="preserve">  Postbus 393,  2250 AJ  VOORSCOTEN</t>
  </si>
  <si>
    <t xml:space="preserve">  Postbus 9000, 7390 HA  TWELLO</t>
  </si>
  <si>
    <t xml:space="preserve">  Postbus 10100,  5260 GA  VUGHT</t>
  </si>
  <si>
    <t xml:space="preserve">  Postbus 10000,  5580 GA  WAALRE</t>
  </si>
  <si>
    <t xml:space="preserve">  Postbus 10150,  5140 GB  WAALWIJK</t>
  </si>
  <si>
    <t xml:space="preserve">  Postbus 400,  2740 AK  WADDINXVEEN</t>
  </si>
  <si>
    <t xml:space="preserve">  Postbus 1, 6700 AA  WAGENINGEN</t>
  </si>
  <si>
    <t xml:space="preserve">  Postbus 499,  2240 AL  WASSENAAR</t>
  </si>
  <si>
    <t xml:space="preserve">  Postbus 1000,  1140 BA  MONNICKENDAM</t>
  </si>
  <si>
    <t xml:space="preserve">  Postbus 950,  6000 AZ  WEERT</t>
  </si>
  <si>
    <t xml:space="preserve">  Postbus 5099,  1380 GB  WEESP</t>
  </si>
  <si>
    <t xml:space="preserve">  Postbus 16,  4250 DA  WERKENDAM</t>
  </si>
  <si>
    <t xml:space="preserve">  Postbus 1,  6658  ZG BENEDEN-LEEUWEN</t>
  </si>
  <si>
    <t xml:space="preserve">  Postbus 40, 6930 AA  WESTERVOORT</t>
  </si>
  <si>
    <t xml:space="preserve">  Postbus 550,  3235 ZH  ROCKANJE</t>
  </si>
  <si>
    <t xml:space="preserve">  Postbus 9000, 6600 HA  WIJCHEN</t>
  </si>
  <si>
    <t xml:space="preserve">  Postbus 41,  1243 ZG  's Graveland</t>
  </si>
  <si>
    <t xml:space="preserve">  Postbus 83,  3960 BB  WIJK BIJ DUURSTEDE</t>
  </si>
  <si>
    <t xml:space="preserve">  Postbus 101,  7100 AC  WINTERSWIJK</t>
  </si>
  <si>
    <t xml:space="preserve">  Postbus 24,  4630 AA  HOOGERHEIDE</t>
  </si>
  <si>
    <t xml:space="preserve">  Postbus 45,  3440 AA  WOERDEN</t>
  </si>
  <si>
    <t>Asfalt, all in*</t>
  </si>
  <si>
    <t>trottoir-banden:</t>
  </si>
  <si>
    <t>Dikte</t>
  </si>
  <si>
    <t>Prijs</t>
  </si>
  <si>
    <t>m2/cm</t>
  </si>
  <si>
    <t xml:space="preserve">  Postbus 20,  1530 AA  WORMER</t>
  </si>
  <si>
    <t xml:space="preserve">  Postbus 16,  3930 EA  WOUDENBERG</t>
  </si>
  <si>
    <t xml:space="preserve">  Postbus 6,  4285 ZG  WOUDRICHEM</t>
  </si>
  <si>
    <t xml:space="preserve">  Postbus 2000,  1500 GA  ZAANDAM</t>
  </si>
  <si>
    <t xml:space="preserve">  Postbus 10002,  5300 DA  ZALTBOMMEL</t>
  </si>
  <si>
    <t xml:space="preserve">  Postbus 2,  2040 AA  ZANDVOORT</t>
  </si>
  <si>
    <t xml:space="preserve">  Postbus 1,  4230 BA  MEERKERK</t>
  </si>
  <si>
    <t xml:space="preserve">  Postbus 1,  1474 ZG  ZEEVANG</t>
  </si>
  <si>
    <t xml:space="preserve">  Postbus 1,  3890 AA  ZEEWOLDE</t>
  </si>
  <si>
    <t xml:space="preserve">  Postbus 513,  3700 AM  ZEIST</t>
  </si>
  <si>
    <t xml:space="preserve">  Postbus 10, 6900 AA  ZEVENAAR</t>
  </si>
  <si>
    <t xml:space="preserve">  Postbus 34,  2380 AA  ZOETERWOUDE</t>
  </si>
  <si>
    <t xml:space="preserve">  Postbus 10001,  4880 GA  ZUNDERT</t>
  </si>
  <si>
    <t xml:space="preserve">  Postbus 41,  7200 AA  ZUTPHEN</t>
  </si>
  <si>
    <t xml:space="preserve">  Postbus 15,  3330 AA  ZWIJNDRECHT</t>
  </si>
  <si>
    <t>Echt-Susteren</t>
  </si>
  <si>
    <t>Specificatie:</t>
  </si>
  <si>
    <t>In de tarieven wordt geen onderscheid gemaakt tussen lasgaten en sleuven. Alle werkzaamheden worden berekend per vierkante meter.</t>
  </si>
  <si>
    <t>De degeneratie vergoeding wordt verrekend per strekkende meter.</t>
  </si>
  <si>
    <t>Kontaktpersoon gem.:</t>
  </si>
  <si>
    <t>De werkzaamheden die de gemeente verricht en waarvoor bij het verlenen van het instemmingbesluit leges worden geheven, vallen niet</t>
  </si>
  <si>
    <t>De "Richtlijn"bevat nu ook een degeneratievergoeding voor  tegelverharding.</t>
  </si>
  <si>
    <t>Voor gefundeerde verharding en voor groenvoorzieningen wordt geen degeneratievergoeding berekend.</t>
  </si>
  <si>
    <t>De "Richtlijn"is van toepassing op het herstel van opgebroken bestrating.</t>
  </si>
  <si>
    <t>RICHTLIJN TARIEVEN 2004</t>
  </si>
  <si>
    <t>KOSTENSPECIFICATIE</t>
  </si>
  <si>
    <t xml:space="preserve">   EURO ( € )</t>
  </si>
  <si>
    <t>1) UITVOERINGSKOSTEN</t>
  </si>
  <si>
    <t>a) Ploegkosten per 01-07-2003</t>
  </si>
  <si>
    <t>Per uur</t>
  </si>
  <si>
    <t>Straatmaker  I</t>
  </si>
  <si>
    <t>groep D,  Elsevier GWW Kosten 1 juli 2003</t>
  </si>
  <si>
    <t>(met 5% ziekteverzuim)</t>
  </si>
  <si>
    <t>Straatmaker  II</t>
  </si>
  <si>
    <t>groep B,  Idem</t>
  </si>
  <si>
    <t>Transport</t>
  </si>
  <si>
    <t>EVO-berekening  DD. 03-01-2002 + index</t>
  </si>
  <si>
    <t>incl.kraan</t>
  </si>
  <si>
    <t>+</t>
  </si>
  <si>
    <t>ivm ontbreken EVO gegevens</t>
  </si>
  <si>
    <t>--------------------+</t>
  </si>
  <si>
    <t/>
  </si>
  <si>
    <t>Alg. kosten winst/risico aannemer</t>
  </si>
  <si>
    <t>---------------------+</t>
  </si>
  <si>
    <t xml:space="preserve">TOTAAL per ploeguur </t>
  </si>
  <si>
    <t xml:space="preserve">  TOTAAL per manuur </t>
  </si>
  <si>
    <t>b) kosten materiaal</t>
  </si>
  <si>
    <t xml:space="preserve">kosten   </t>
  </si>
  <si>
    <t>breuk</t>
  </si>
  <si>
    <t xml:space="preserve">reparatie </t>
  </si>
  <si>
    <t>KLINKERS</t>
  </si>
  <si>
    <t>TEGELS</t>
  </si>
  <si>
    <t>Incl. Magazijntoeslag</t>
  </si>
  <si>
    <t>in %</t>
  </si>
  <si>
    <t>materiaalverhouding per 1000</t>
  </si>
  <si>
    <t xml:space="preserve">  Postbus 250,  3640 AG MIJDRECHT</t>
  </si>
  <si>
    <t>Stichtse Vecht</t>
  </si>
  <si>
    <t xml:space="preserve">  Postbus 1212, 3600 BE MAARSSEN </t>
  </si>
  <si>
    <t xml:space="preserve">  Postbus 51, 4690 AB THOLEN</t>
  </si>
  <si>
    <t>materiaalverhouding per m2</t>
  </si>
  <si>
    <t>K-Klinkers</t>
  </si>
  <si>
    <t xml:space="preserve">per m2   </t>
  </si>
  <si>
    <t>waal</t>
  </si>
  <si>
    <t>Dik 45 mm</t>
  </si>
  <si>
    <t xml:space="preserve">T-Tegels </t>
  </si>
  <si>
    <t xml:space="preserve">per m2 </t>
  </si>
  <si>
    <t>kei</t>
  </si>
  <si>
    <t>Dik 80 mm</t>
  </si>
  <si>
    <t xml:space="preserve">Z-Zand </t>
  </si>
  <si>
    <t xml:space="preserve">per m3 </t>
  </si>
  <si>
    <t>beton</t>
  </si>
  <si>
    <t>Zand p/ m3</t>
  </si>
  <si>
    <t>c) kosten totaal</t>
  </si>
  <si>
    <t>kosten herstraten</t>
  </si>
  <si>
    <t>Reparatie-</t>
  </si>
  <si>
    <t>Kosten</t>
  </si>
  <si>
    <t>Uitvoerings-</t>
  </si>
  <si>
    <t>1e herstel</t>
  </si>
  <si>
    <t>norm p/m2</t>
  </si>
  <si>
    <t>manuur:</t>
  </si>
  <si>
    <t>kosten/m2</t>
  </si>
  <si>
    <t>Gemiddelde toeslag</t>
  </si>
  <si>
    <t>(A+B)</t>
  </si>
  <si>
    <t>p/manuur</t>
  </si>
  <si>
    <t xml:space="preserve">incl. </t>
  </si>
  <si>
    <t>i.v.m. verrekening</t>
  </si>
  <si>
    <t>per m2:</t>
  </si>
  <si>
    <t xml:space="preserve">materiaal </t>
  </si>
  <si>
    <t xml:space="preserve">  incl.</t>
  </si>
  <si>
    <t>GATVERGROTING  (m.u.v.tarief D)</t>
  </si>
  <si>
    <t xml:space="preserve">KLINKERS </t>
  </si>
  <si>
    <t>&lt;15 m2 (lasgat)</t>
  </si>
  <si>
    <t>Degeneratie</t>
  </si>
  <si>
    <t>Bodemgesteldheid:</t>
  </si>
  <si>
    <t>Onderhoud:</t>
  </si>
  <si>
    <t>Degeneratie:</t>
  </si>
  <si>
    <t>Beheer:</t>
  </si>
  <si>
    <t>KLINKERS:</t>
  </si>
  <si>
    <t>B2.</t>
  </si>
  <si>
    <t>Tarief: B1,1</t>
  </si>
  <si>
    <t>Tarief: B1,2</t>
  </si>
  <si>
    <t>Tarief: B1,3</t>
  </si>
  <si>
    <t>Tarief: B1,4</t>
  </si>
  <si>
    <t>Tarief: B1,5</t>
  </si>
  <si>
    <t>Tarief: B2,1</t>
  </si>
  <si>
    <t>Tarief: B2,2</t>
  </si>
  <si>
    <t>Tarief: B2,3</t>
  </si>
  <si>
    <t>Tarief: B2,4</t>
  </si>
  <si>
    <t>Tarief: B2,5</t>
  </si>
  <si>
    <t xml:space="preserve">    TEGELS:</t>
  </si>
  <si>
    <t>Verdeling werkzaamheden:</t>
  </si>
  <si>
    <t>Verrekenings-categorie:</t>
  </si>
  <si>
    <t>Beheerskosten:</t>
  </si>
  <si>
    <t>3a.</t>
  </si>
  <si>
    <t>3b.</t>
  </si>
  <si>
    <t>pp</t>
  </si>
  <si>
    <t>Opbouw:</t>
  </si>
  <si>
    <t>Dinkelland</t>
  </si>
  <si>
    <t>Midden-Delftland</t>
  </si>
  <si>
    <t>Vlagtwedde</t>
  </si>
  <si>
    <t xml:space="preserve">  Dorpsstraat 1, 9551 AB SELLINGEN</t>
  </si>
  <si>
    <t>Rijssen-Holten</t>
  </si>
  <si>
    <t xml:space="preserve">  Postbus 244, 7460 AE RIJSSEN</t>
  </si>
  <si>
    <t>Berkelland</t>
  </si>
  <si>
    <t xml:space="preserve">  Postbus 200, 7270 HA BORCULO</t>
  </si>
  <si>
    <t>Bronckhorst</t>
  </si>
  <si>
    <t xml:space="preserve">  Postbus 200, 7255 ZJ HENGELO</t>
  </si>
  <si>
    <t>Oost Gelre</t>
  </si>
  <si>
    <t xml:space="preserve">  Postbus 17, 7130 AA LICHTENVOORDE</t>
  </si>
  <si>
    <t>Utrechtse Heuvelrug</t>
  </si>
  <si>
    <t xml:space="preserve">  Postbus 200, 3940 AE DOORN</t>
  </si>
  <si>
    <t>Goeree-Overflakkee</t>
  </si>
  <si>
    <t xml:space="preserve">  Postbus 1, 3240 AA MIDDELHARNIS</t>
  </si>
  <si>
    <t>Teylingen</t>
  </si>
  <si>
    <t xml:space="preserve">  Postbus 149, 2215 VOORHOUT</t>
  </si>
  <si>
    <t>Eijsden-Margraten</t>
  </si>
  <si>
    <t xml:space="preserve">  Postbus 10, 6269 ZG MARGRATEN</t>
  </si>
  <si>
    <t>Leudal</t>
  </si>
  <si>
    <t>Peel en Maas</t>
  </si>
  <si>
    <t xml:space="preserve">  Postbus 7088, 5980 AB PANNINGEN</t>
  </si>
  <si>
    <t>Hollands Kroon</t>
  </si>
  <si>
    <t xml:space="preserve">  Postbus 8, 1760 AA ANNA PAULOWNA</t>
  </si>
  <si>
    <t>Vlaardingen</t>
  </si>
  <si>
    <t xml:space="preserve">  Postbus 1002, 3130 EB VLAARDINGEN</t>
  </si>
  <si>
    <t>Molenwaard</t>
  </si>
  <si>
    <t xml:space="preserve">  Postbus 100, 2910 AC NIEUWERKERK a/d IJSSEL</t>
  </si>
  <si>
    <t>Klinkers:</t>
  </si>
  <si>
    <t>Tegels:</t>
  </si>
  <si>
    <t>Categorie:1.</t>
  </si>
  <si>
    <t>Categorie:2.</t>
  </si>
  <si>
    <t>Categorie:3.</t>
  </si>
  <si>
    <t>Categorie:4.</t>
  </si>
  <si>
    <t>Categorie:5.</t>
  </si>
  <si>
    <t>Rekenfactor:</t>
  </si>
  <si>
    <t>&gt; 50 &lt;60% slechte bodem:</t>
  </si>
  <si>
    <t>&gt; 60 &lt;70% slechte bodem:</t>
  </si>
  <si>
    <t>&gt; 70 &lt;80% slechte bodem:</t>
  </si>
  <si>
    <t>Op de tarieven is indexering van toepassing. Jaarlijks zal door de VNG een geïndexeerd "Rekenblad" tijdig ter beschikking worden gesteld.</t>
  </si>
  <si>
    <t>De VNG en een representatieve vertegenwoordiging van de Telcomsector hebben als: "Packed deal"overeenstemming bereikt over de rekenmethodiek</t>
  </si>
  <si>
    <t>Totaal:</t>
  </si>
  <si>
    <t>en de tarieven van de "Richtlijn", die integraal behoort te worden toegepast.</t>
  </si>
  <si>
    <t>Tarief: A1</t>
  </si>
  <si>
    <t>Tarief: A2</t>
  </si>
  <si>
    <t>Tarief: A3</t>
  </si>
  <si>
    <t>Tarief: A4</t>
  </si>
  <si>
    <t>Tarief: A5</t>
  </si>
  <si>
    <t>Tarief: C1</t>
  </si>
  <si>
    <t>Tarief: C2</t>
  </si>
  <si>
    <t>Tarief: C3</t>
  </si>
  <si>
    <t>Tarief: C4</t>
  </si>
  <si>
    <t>Tarief: C5</t>
  </si>
  <si>
    <t>Prijzen materialen uit</t>
  </si>
  <si>
    <t>&gt;15 m2 (geul)</t>
  </si>
  <si>
    <t xml:space="preserve">Elsevier GWW Kosten funderingslagen &amp; </t>
  </si>
  <si>
    <t>&gt;100 m2 (geul)</t>
  </si>
  <si>
    <t>elementenverhardingen  01-05-2001</t>
  </si>
  <si>
    <t xml:space="preserve">TEGELS </t>
  </si>
  <si>
    <t>TROTTOIRBAND</t>
  </si>
  <si>
    <t>(tegelmat.)</t>
  </si>
  <si>
    <t xml:space="preserve">OPSLUITBAND </t>
  </si>
  <si>
    <t>ZAAI KLAAR MAKEN</t>
  </si>
  <si>
    <t>100m2 berm, gazon</t>
  </si>
  <si>
    <t>INZAAIEN</t>
  </si>
  <si>
    <t>kosten loon groen per 01-07-2001</t>
  </si>
  <si>
    <t>cultuurtechnisch medewerker</t>
  </si>
  <si>
    <t>Elsevier GWW Kosten 1 juli 2003</t>
  </si>
  <si>
    <t>EVO-berekening  DD. 03-01-2001</t>
  </si>
  <si>
    <t>+ index 2,5%</t>
  </si>
  <si>
    <t xml:space="preserve">TOTAAL per manuur </t>
  </si>
  <si>
    <t>kosten materiaal groen</t>
  </si>
  <si>
    <t>Zaad kosten</t>
  </si>
  <si>
    <t>gebruik</t>
  </si>
  <si>
    <t xml:space="preserve">kosten  </t>
  </si>
  <si>
    <t xml:space="preserve">kosten </t>
  </si>
  <si>
    <t>Prijzen zaaimateriaal uit</t>
  </si>
  <si>
    <t>per kg</t>
  </si>
  <si>
    <t>kg/are</t>
  </si>
  <si>
    <t>per  are</t>
  </si>
  <si>
    <t>Elsevier/ GWW Kosten/ Groenvoorzieningen</t>
  </si>
  <si>
    <t>Graszaad</t>
  </si>
  <si>
    <t xml:space="preserve">Bermmengsel </t>
  </si>
  <si>
    <t xml:space="preserve">Gazonmengsel </t>
  </si>
  <si>
    <t>2) ONDERHOUD</t>
  </si>
  <si>
    <t xml:space="preserve">Percentage slechte grond </t>
  </si>
  <si>
    <t>&lt;50%</t>
  </si>
  <si>
    <t>50-60%</t>
  </si>
  <si>
    <t>60-70%</t>
  </si>
  <si>
    <t>70-80%</t>
  </si>
  <si>
    <t>&gt;80%</t>
  </si>
  <si>
    <t>5 categorieën van</t>
  </si>
  <si>
    <t xml:space="preserve">bodemgesteldheid </t>
  </si>
  <si>
    <t>na herstel in % van de totale uitvoeringskosten</t>
  </si>
  <si>
    <t>minder dan 50% slechte bodem</t>
  </si>
  <si>
    <t xml:space="preserve">RIJWEGEN       </t>
  </si>
  <si>
    <t>(klinkers, tegels)</t>
  </si>
  <si>
    <t>tussen 50-60% slechte bodem</t>
  </si>
  <si>
    <t>VOET-FIETSPADEN</t>
  </si>
  <si>
    <t>(tegels, klinkers)</t>
  </si>
  <si>
    <t>tussen 60-70% slechte bodem</t>
  </si>
  <si>
    <t>tussen 70-80 slechte bodem</t>
  </si>
  <si>
    <t>meer dan 80% slechte bodem</t>
  </si>
  <si>
    <t>3) DEGENERATIE</t>
  </si>
  <si>
    <t>&lt; 15 m2  (per lasgat)</t>
  </si>
  <si>
    <t>&gt; 15 m2  (per m1 geul)</t>
  </si>
  <si>
    <t>beheer</t>
  </si>
  <si>
    <t>&lt; 15 m2</t>
  </si>
  <si>
    <t>&gt; 15m2</t>
  </si>
  <si>
    <t>&lt; 15m2</t>
  </si>
  <si>
    <t>rijweg</t>
  </si>
  <si>
    <t>voetpad</t>
  </si>
  <si>
    <t>klinker</t>
  </si>
  <si>
    <t>tegels</t>
  </si>
  <si>
    <t>Rijweg</t>
  </si>
  <si>
    <t>Voetpad</t>
  </si>
  <si>
    <t>&lt;15 m2</t>
  </si>
  <si>
    <t>&gt;15 m2</t>
  </si>
  <si>
    <t>&gt;100 m2</t>
  </si>
  <si>
    <t>klinkers</t>
  </si>
  <si>
    <t xml:space="preserve"> per m2</t>
  </si>
  <si>
    <t xml:space="preserve">tegels  </t>
  </si>
  <si>
    <t xml:space="preserve">+ per reparatie               </t>
  </si>
  <si>
    <t>&gt; 15 m2</t>
  </si>
  <si>
    <t xml:space="preserve">+ per m1 sleuflengte   </t>
  </si>
  <si>
    <t>……………………….</t>
  </si>
  <si>
    <t>…………………</t>
  </si>
  <si>
    <t xml:space="preserve">klinkers </t>
  </si>
  <si>
    <t xml:space="preserve">  Postbus 44,  5490 AA SINT-OEDENRODE</t>
  </si>
  <si>
    <t xml:space="preserve">tegels   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</si>
  <si>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</si>
  <si>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</si>
  <si>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</si>
  <si>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</si>
  <si>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</si>
  <si>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</si>
  <si>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</si>
  <si>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</si>
  <si>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</si>
  <si>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trottoirband</t>
  </si>
  <si>
    <t xml:space="preserve"> per m1</t>
  </si>
  <si>
    <t>D2</t>
  </si>
  <si>
    <t>opsluitband/koprolband</t>
  </si>
  <si>
    <t>D3</t>
  </si>
  <si>
    <t xml:space="preserve">berm/ gazon </t>
  </si>
  <si>
    <t>&lt;50m2</t>
  </si>
  <si>
    <t>D4</t>
  </si>
  <si>
    <t>berm/ gazon</t>
  </si>
  <si>
    <t>In de "Richtlijn" is aangegeven wanneer de sleuf door de aanbieder moet worden gedicht en onder welke voorwaarden dit is toegestaan.</t>
  </si>
  <si>
    <t xml:space="preserve">Voor gesloten verhardingen zoals afalt, cemenbeton, grootschalige en kleinschalige verhardings elementen, plantsoenen en bomen, </t>
  </si>
  <si>
    <t>kan het "rekenblad" worden gebruikt.</t>
  </si>
  <si>
    <t>Dit "Rekenblad" is een uitgave van de Vereniging van Nederlandse Gemeenten en is gebaseerd op:</t>
  </si>
  <si>
    <t>Door scrollen kan de gemeente worden ingesteld en daarna opgeslagen. Dus een éénmalige actie!</t>
  </si>
  <si>
    <t>Appingedam</t>
  </si>
  <si>
    <t>Bedum</t>
  </si>
  <si>
    <t>Bellingwedde</t>
  </si>
  <si>
    <t>De Marne</t>
  </si>
  <si>
    <t>Delfzijl</t>
  </si>
  <si>
    <t>Groningen</t>
  </si>
  <si>
    <t xml:space="preserve">  Postbus 6,  4650 AA  STEENBERGEN</t>
  </si>
  <si>
    <t>Oude-IJsselstreek</t>
  </si>
  <si>
    <t xml:space="preserve">  Postbus 42,  7980 AA GENDERINGEN</t>
  </si>
  <si>
    <t xml:space="preserve">  Postbus 79,  8070 AB  NUNSPEET</t>
  </si>
  <si>
    <t>Grootegast</t>
  </si>
  <si>
    <t>Haren</t>
  </si>
  <si>
    <t>Hoogezand -Sappemeer</t>
  </si>
  <si>
    <t>Leek</t>
  </si>
  <si>
    <t>Loppersum</t>
  </si>
  <si>
    <t>Marum</t>
  </si>
  <si>
    <t>Menterwolde</t>
  </si>
  <si>
    <t>Pekela</t>
  </si>
  <si>
    <t>Slochteren</t>
  </si>
  <si>
    <t>Stadskanaal</t>
  </si>
  <si>
    <t>Ten Boer</t>
  </si>
  <si>
    <t>Veendam</t>
  </si>
  <si>
    <t>Winsum</t>
  </si>
  <si>
    <t>Bodegraven-Reeuwijk</t>
  </si>
  <si>
    <t>Sudwest Fryslan</t>
  </si>
  <si>
    <t>Zuidhorn</t>
  </si>
  <si>
    <t>Achterkarspelen</t>
  </si>
  <si>
    <t>Ameland</t>
  </si>
  <si>
    <t>Dantumadeel</t>
  </si>
  <si>
    <t>Ferwerderadiel</t>
  </si>
  <si>
    <t>Franekeradeel</t>
  </si>
  <si>
    <t>Harlingen</t>
  </si>
  <si>
    <t>Heerenveen</t>
  </si>
  <si>
    <t>Het Bildt</t>
  </si>
  <si>
    <t>Leeuwarden</t>
  </si>
  <si>
    <t>Leeuwarderadeel</t>
  </si>
  <si>
    <t>Littenseradiel</t>
  </si>
  <si>
    <t>Opsterland</t>
  </si>
  <si>
    <t>Schiermonnikoog</t>
  </si>
  <si>
    <t>Smallingerland</t>
  </si>
  <si>
    <t>Terschelling</t>
  </si>
  <si>
    <t>Tytsjerksteradiel</t>
  </si>
  <si>
    <t>Vlieland</t>
  </si>
  <si>
    <t>Weststellingwerf</t>
  </si>
  <si>
    <t>Aa en Hunze</t>
  </si>
  <si>
    <t>Assen</t>
  </si>
  <si>
    <t>Borger-Odoorn</t>
  </si>
  <si>
    <t>Coevorden</t>
  </si>
  <si>
    <t>De Wolden</t>
  </si>
  <si>
    <t>Emmen</t>
  </si>
  <si>
    <t>Hoogeveen</t>
  </si>
  <si>
    <t>B1.</t>
  </si>
  <si>
    <t>Deg. klink. per m1</t>
  </si>
  <si>
    <t>Deg. tegels per m1</t>
  </si>
  <si>
    <t>Beh.kost. klink m2</t>
  </si>
  <si>
    <t>Beh.kost.tegels m2</t>
  </si>
  <si>
    <t>Meppel</t>
  </si>
  <si>
    <t>Noordenveld</t>
  </si>
  <si>
    <t>Tynaarlo</t>
  </si>
  <si>
    <t>Westerveld</t>
  </si>
  <si>
    <t>Almelo</t>
  </si>
  <si>
    <t>Borne</t>
  </si>
  <si>
    <t>Dalfsen</t>
  </si>
  <si>
    <t>Deventer</t>
  </si>
  <si>
    <t>Enschede</t>
  </si>
  <si>
    <t>Haaksbergen</t>
  </si>
  <si>
    <t>Hof van Twente</t>
  </si>
  <si>
    <t>Kampen</t>
  </si>
  <si>
    <t>Losser</t>
  </si>
  <si>
    <t>Oldenzaal</t>
  </si>
  <si>
    <t>Olst-Wijhe</t>
  </si>
  <si>
    <t>Ommen</t>
  </si>
  <si>
    <t>Raalte</t>
  </si>
  <si>
    <t>Staphorst</t>
  </si>
  <si>
    <t>Twenterand</t>
  </si>
  <si>
    <t>Wierden</t>
  </si>
  <si>
    <t>Zwartewaterland</t>
  </si>
  <si>
    <t>Zwolle</t>
  </si>
  <si>
    <t>Aalten</t>
  </si>
  <si>
    <t>Boxtel</t>
  </si>
  <si>
    <t xml:space="preserve">  Postbus 10000,  5280 DA  BOXTEL</t>
  </si>
  <si>
    <t>Apeldoorn</t>
  </si>
  <si>
    <t>Arnhem</t>
  </si>
  <si>
    <t>Barneveld</t>
  </si>
  <si>
    <t>Lingewaal</t>
  </si>
  <si>
    <t>Lochem</t>
  </si>
  <si>
    <t>Maasdriel</t>
  </si>
  <si>
    <t>Neerijnen</t>
  </si>
  <si>
    <t>Beuningen</t>
  </si>
  <si>
    <t>Brummen</t>
  </si>
  <si>
    <t>Buren</t>
  </si>
  <si>
    <t>Culemborg</t>
  </si>
  <si>
    <t>Doesburg</t>
  </si>
  <si>
    <t>Druten</t>
  </si>
  <si>
    <t>Duiven</t>
  </si>
  <si>
    <t>Ede</t>
  </si>
  <si>
    <t>Elburg</t>
  </si>
  <si>
    <t>Epe</t>
  </si>
  <si>
    <t>Ermelo</t>
  </si>
  <si>
    <t>Geldermalsen</t>
  </si>
  <si>
    <t>Groesbeek</t>
  </si>
  <si>
    <t>Harderwijk</t>
  </si>
  <si>
    <t>Hattem</t>
  </si>
  <si>
    <t>Heerde</t>
  </si>
  <si>
    <t>Heumen</t>
  </si>
  <si>
    <t>Nijkerk</t>
  </si>
  <si>
    <t>Nijmegen</t>
  </si>
  <si>
    <t>Nunspeet</t>
  </si>
  <si>
    <t>Oldebroek</t>
  </si>
  <si>
    <t>Overbetuwe</t>
  </si>
  <si>
    <t>Putten</t>
  </si>
  <si>
    <t>Renkum</t>
  </si>
  <si>
    <t>Rheden</t>
  </si>
  <si>
    <t>Rijnwaarden</t>
  </si>
  <si>
    <t>Rozendaal</t>
  </si>
  <si>
    <t>Scherpenzeel</t>
  </si>
  <si>
    <t>Voorst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</si>
  <si>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</si>
  <si>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</si>
  <si>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</si>
  <si>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</si>
  <si>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</si>
  <si>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</si>
  <si>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</si>
  <si>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Amersfoort</t>
  </si>
  <si>
    <t>Baarn</t>
  </si>
  <si>
    <t>Bunnik</t>
  </si>
  <si>
    <t>Bunschoten</t>
  </si>
  <si>
    <t>De Bilt</t>
  </si>
  <si>
    <t>Lopik</t>
  </si>
  <si>
    <t>Montfoort</t>
  </si>
  <si>
    <t>Nieuwegein</t>
  </si>
  <si>
    <t>Oudewater</t>
  </si>
  <si>
    <t>Renswoude</t>
  </si>
  <si>
    <t>Rhenen</t>
  </si>
  <si>
    <t>De Ronde Venen</t>
  </si>
  <si>
    <t>Houten</t>
  </si>
  <si>
    <t>IJsselstein</t>
  </si>
  <si>
    <t>Leusden</t>
  </si>
  <si>
    <t>Soest</t>
  </si>
  <si>
    <t>Inkoopordernr.:</t>
  </si>
  <si>
    <t>Projektnr:</t>
  </si>
  <si>
    <t>Datum opbreking:</t>
  </si>
  <si>
    <t>Datum herstel:</t>
  </si>
  <si>
    <t>Deellevering:</t>
  </si>
  <si>
    <t>Laatste levering:</t>
  </si>
  <si>
    <t>Uitvoerende aannemer:</t>
  </si>
  <si>
    <t>………………..</t>
  </si>
  <si>
    <t>Opdrachtnummer :</t>
  </si>
  <si>
    <t>Gemeentelijke gegevens:</t>
  </si>
  <si>
    <t>…………………………………</t>
  </si>
  <si>
    <t>Veenendaal</t>
  </si>
  <si>
    <t>Vianen</t>
  </si>
  <si>
    <t>Wijk bij Duurstede</t>
  </si>
  <si>
    <t>Woerden</t>
  </si>
  <si>
    <t>Woudenberg</t>
  </si>
  <si>
    <t>Zeist</t>
  </si>
  <si>
    <t>Aalsmeer</t>
  </si>
  <si>
    <t>Alkmaar</t>
  </si>
  <si>
    <t>Amstelveen</t>
  </si>
  <si>
    <t>Amsterdam</t>
  </si>
  <si>
    <t>Beemster</t>
  </si>
  <si>
    <t>Beverwijk</t>
  </si>
  <si>
    <t>Blaricum</t>
  </si>
  <si>
    <t>Bloemendaal</t>
  </si>
  <si>
    <t>Bussum</t>
  </si>
  <si>
    <t>Den Helder</t>
  </si>
  <si>
    <t>Diemen</t>
  </si>
  <si>
    <t>Drechterland</t>
  </si>
  <si>
    <t>Edam-Volendam</t>
  </si>
  <si>
    <t>Enkhuizen</t>
  </si>
  <si>
    <t>Haarlem</t>
  </si>
  <si>
    <t>Haarlemmerliede en Spaarnewoude</t>
  </si>
  <si>
    <t>Haarlemmermeer</t>
  </si>
  <si>
    <t>Laren</t>
  </si>
  <si>
    <t>Medemblik</t>
  </si>
  <si>
    <t>Muiden</t>
  </si>
  <si>
    <t>Naarden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</si>
  <si>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</si>
  <si>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</si>
  <si>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</si>
  <si>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</si>
  <si>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</si>
  <si>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</si>
  <si>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</si>
  <si>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</si>
  <si>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</si>
  <si>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Velsen</t>
  </si>
  <si>
    <t>Waterland</t>
  </si>
  <si>
    <t>Weesp</t>
  </si>
  <si>
    <t>Heemskerk</t>
  </si>
  <si>
    <t>Heemstede</t>
  </si>
  <si>
    <t>Heerhugowaard</t>
  </si>
  <si>
    <t>Heiloo</t>
  </si>
  <si>
    <t>Hilversum</t>
  </si>
  <si>
    <t>Hoorn</t>
  </si>
  <si>
    <t>Huizen</t>
  </si>
  <si>
    <t>Landsmeer</t>
  </si>
  <si>
    <t>Langedijk</t>
  </si>
  <si>
    <t>Wijdemeren</t>
  </si>
  <si>
    <t>Wormerland</t>
  </si>
  <si>
    <t>Zaanstad</t>
  </si>
  <si>
    <t>Zandvoort</t>
  </si>
  <si>
    <t>Zeevang</t>
  </si>
  <si>
    <t>Alblasserdam</t>
  </si>
  <si>
    <t>Albrandswaard</t>
  </si>
  <si>
    <t>Alphen aan de Rijn</t>
  </si>
  <si>
    <t>Barendrecht</t>
  </si>
  <si>
    <t xml:space="preserve">  Postbus 150,  2670 AD  NAALDWIJK</t>
  </si>
  <si>
    <t>Binnenmaas</t>
  </si>
  <si>
    <t>Montferland</t>
  </si>
  <si>
    <t>Tiel</t>
  </si>
  <si>
    <t>Tilburg</t>
  </si>
  <si>
    <t>Tubbergen</t>
  </si>
  <si>
    <t xml:space="preserve">  Postbus 6325, 4000 HH TIEL</t>
  </si>
  <si>
    <t xml:space="preserve">  Postbus 90155, 5000 LH TILBURG</t>
  </si>
  <si>
    <t xml:space="preserve">  Postbus 30, 7650 AA TUBBERGEN</t>
  </si>
  <si>
    <t>Oldambt</t>
  </si>
  <si>
    <t>Brielle</t>
  </si>
  <si>
    <t>Capelle aan de IJssel</t>
  </si>
  <si>
    <t>Delft</t>
  </si>
  <si>
    <t>Den Haag</t>
  </si>
  <si>
    <t>Dordrecht</t>
  </si>
  <si>
    <t>Giessenlanden</t>
  </si>
  <si>
    <t>Gorichem</t>
  </si>
  <si>
    <t>Gouda</t>
  </si>
  <si>
    <t>Hardinxveld-Giessendam</t>
  </si>
  <si>
    <t>Hellevoetsluis</t>
  </si>
  <si>
    <t>Hendrik-Ido-Ambacht</t>
  </si>
  <si>
    <t>Hillegom</t>
  </si>
  <si>
    <t>Katwijk</t>
  </si>
  <si>
    <t>Korendijk</t>
  </si>
  <si>
    <t>Krimpen aan de IJssel</t>
  </si>
  <si>
    <t>Leerdam</t>
  </si>
  <si>
    <t>Leiden</t>
  </si>
  <si>
    <t>Leiderdorp</t>
  </si>
  <si>
    <t>Leidschendam-Voorburg</t>
  </si>
  <si>
    <t>Lisse</t>
  </si>
  <si>
    <t>Maassluis</t>
  </si>
  <si>
    <t>Nieuwkoop</t>
  </si>
  <si>
    <t>Noordwijk</t>
  </si>
  <si>
    <t>Noordwijkerhout</t>
  </si>
  <si>
    <t>Oestgeest</t>
  </si>
  <si>
    <t>Oud-Beijerland</t>
  </si>
  <si>
    <t>Pijnakker-Nootdorp</t>
  </si>
  <si>
    <t>Ridderkerk</t>
  </si>
  <si>
    <t>Rijswijk</t>
  </si>
  <si>
    <t>Rotterdam</t>
  </si>
  <si>
    <t>Schiedam</t>
  </si>
  <si>
    <t>Sliedrecht</t>
  </si>
  <si>
    <t>Strijen</t>
  </si>
  <si>
    <r>
      <t xml:space="preserve">Door de </t>
    </r>
    <r>
      <rPr>
        <b/>
        <sz val="10"/>
        <color indexed="11"/>
        <rFont val="Arial"/>
        <family val="2"/>
      </rPr>
      <t>groene posities</t>
    </r>
    <r>
      <rPr>
        <sz val="10"/>
        <rFont val="Arial"/>
        <family val="2"/>
      </rPr>
      <t xml:space="preserve"> in te vullen vindt de verrekening plaats volgens de "Richtlijn tarieven (graaf) werkzaamheden Telecom".</t>
    </r>
  </si>
  <si>
    <t>definities, rekenmethodiek en tarieven</t>
  </si>
  <si>
    <t>Bij de berekening van de degeneratie vergoeding wordt gebruik gemaakt van de per 1 januari 2001 gehanteerde berekenwijze voor de</t>
  </si>
  <si>
    <t xml:space="preserve">- de gemiddelde breedte van het grondverzet, gemeten als breedte van de toegepaste graafbak, naar boven afgerond op 5 cm, </t>
  </si>
  <si>
    <t>- met een minimum breedte voor tegelverharding van 30 cm en voor klinkerverharding van 20 cm.</t>
  </si>
  <si>
    <r>
      <t xml:space="preserve">dienen tussen </t>
    </r>
    <r>
      <rPr>
        <sz val="10"/>
        <rFont val="Arial"/>
        <family val="2"/>
      </rPr>
      <t>de gemeente en de aanbieder op projektniveau</t>
    </r>
    <r>
      <rPr>
        <sz val="10"/>
        <rFont val="Arial"/>
        <family val="2"/>
      </rPr>
      <t>, of zo mogelijk generiek, afspraken te worden gemaakt. Voor de verrekening</t>
    </r>
  </si>
  <si>
    <t>volgens de Richtlijn Tarieven (graaf) werkzaamheden Telecom dd 12-03-2004.</t>
  </si>
  <si>
    <t>Voorschoten</t>
  </si>
  <si>
    <t>Waddinxveen</t>
  </si>
  <si>
    <t>Wassenaar</t>
  </si>
  <si>
    <t>Westvoorne</t>
  </si>
  <si>
    <t>Zederik</t>
  </si>
  <si>
    <t>Zoeterwoude</t>
  </si>
  <si>
    <t>Zwijndrecht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</si>
  <si>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</si>
  <si>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</si>
  <si>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</si>
  <si>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</si>
  <si>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</si>
  <si>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</si>
  <si>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</si>
  <si>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</si>
  <si>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Terneuzen</t>
  </si>
  <si>
    <t>Tholen</t>
  </si>
  <si>
    <t>Veere</t>
  </si>
  <si>
    <t>Vlissingen</t>
  </si>
  <si>
    <t>Alphen-Chaam</t>
  </si>
  <si>
    <t>Asten</t>
  </si>
  <si>
    <t>Baarle-Nassau</t>
  </si>
  <si>
    <t>Bergen op Zoom</t>
  </si>
  <si>
    <t>Bernheze</t>
  </si>
  <si>
    <t>Best</t>
  </si>
  <si>
    <t>Bladel</t>
  </si>
  <si>
    <t>Boekel</t>
  </si>
  <si>
    <t>Boxmeer</t>
  </si>
  <si>
    <t>Breda</t>
  </si>
  <si>
    <t>Cranendonck</t>
  </si>
  <si>
    <t>Cuijk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</si>
  <si>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</si>
  <si>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</si>
  <si>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</si>
  <si>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</si>
  <si>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</si>
  <si>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</si>
  <si>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</si>
  <si>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Gemert-Bakel</t>
  </si>
  <si>
    <t>Gilze en Rijen</t>
  </si>
  <si>
    <t>Goirle</t>
  </si>
  <si>
    <t>Grave</t>
  </si>
  <si>
    <t>Haaren</t>
  </si>
  <si>
    <t>Halderberge</t>
  </si>
  <si>
    <t>Heeze-Leende</t>
  </si>
  <si>
    <t>Helmond</t>
  </si>
  <si>
    <t>Heusden</t>
  </si>
  <si>
    <t>Hilvarenbeek</t>
  </si>
  <si>
    <t>Laarbeek</t>
  </si>
  <si>
    <t>Landerd</t>
  </si>
  <si>
    <t>Loon op Zand</t>
  </si>
  <si>
    <t>Mill en Sint Hubert</t>
  </si>
  <si>
    <t>Moerdijk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</si>
  <si>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</si>
  <si>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</si>
  <si>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</si>
  <si>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</si>
  <si>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</si>
  <si>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</si>
  <si>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</si>
  <si>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Schijndel</t>
  </si>
  <si>
    <t>Sint Anthonis</t>
  </si>
  <si>
    <t>Sint-Michelsgestel</t>
  </si>
  <si>
    <t>Steenbergen</t>
  </si>
  <si>
    <t>Uden</t>
  </si>
  <si>
    <t>Valkenswaard</t>
  </si>
  <si>
    <t>Veghel</t>
  </si>
  <si>
    <t>Veldhoven</t>
  </si>
  <si>
    <t>Vught</t>
  </si>
  <si>
    <t>Waalre</t>
  </si>
  <si>
    <t>Waalwijk</t>
  </si>
  <si>
    <t>=&gt;15m²</t>
  </si>
  <si>
    <t>Werkendam</t>
  </si>
  <si>
    <t>Woensdrecht</t>
  </si>
  <si>
    <t>Woudrichem</t>
  </si>
  <si>
    <t>Zundert</t>
  </si>
  <si>
    <t>Beek</t>
  </si>
  <si>
    <t>Beesel</t>
  </si>
  <si>
    <t>Brunssum</t>
  </si>
  <si>
    <t>Gennep</t>
  </si>
  <si>
    <t>Heerlen</t>
  </si>
  <si>
    <t>Horst aan de Maas</t>
  </si>
  <si>
    <t>Kerkrade</t>
  </si>
  <si>
    <t>Landgraaf</t>
  </si>
  <si>
    <t>Maastricht</t>
  </si>
  <si>
    <t>Meerssen</t>
  </si>
  <si>
    <t>Mook en Middelaar</t>
  </si>
  <si>
    <t>Nederweert</t>
  </si>
  <si>
    <t>Nuth</t>
  </si>
  <si>
    <t>Onderbanken</t>
  </si>
  <si>
    <t>Roerdalen</t>
  </si>
  <si>
    <t>Roermond</t>
  </si>
  <si>
    <t>Simpelveld</t>
  </si>
  <si>
    <t>Stein</t>
  </si>
  <si>
    <t>Vaals</t>
  </si>
  <si>
    <t>Valkenburg aan de Geul</t>
  </si>
  <si>
    <t>Venray</t>
  </si>
  <si>
    <t>Voerendaal</t>
  </si>
  <si>
    <t>Weert</t>
  </si>
  <si>
    <t>Almere</t>
  </si>
  <si>
    <t>Dronten</t>
  </si>
  <si>
    <t>Lelystad</t>
  </si>
  <si>
    <t>Noordoostpolder</t>
  </si>
  <si>
    <t>Urk</t>
  </si>
  <si>
    <t>Zeewolde</t>
  </si>
  <si>
    <t>Eemsmond</t>
  </si>
  <si>
    <t>Dongeradeel</t>
  </si>
  <si>
    <t>Kollumerland en Nieuwkruisland</t>
  </si>
  <si>
    <t>Midden-Drenthe</t>
  </si>
  <si>
    <t>Hardenberg</t>
  </si>
  <si>
    <t>Hellendoorn</t>
  </si>
  <si>
    <t>Doetinchem</t>
  </si>
  <si>
    <t>Wageningen</t>
  </si>
  <si>
    <t>Eemnes</t>
  </si>
  <si>
    <t>Cromstrijen</t>
  </si>
  <si>
    <t>Aalburg</t>
  </si>
  <si>
    <t>Bergeijk</t>
  </si>
  <si>
    <t>Nuenen, Gerwen en Nederwetten</t>
  </si>
  <si>
    <t>Sint-Oedenrode</t>
  </si>
  <si>
    <t>Someren</t>
  </si>
  <si>
    <t>Son en Breugel</t>
  </si>
  <si>
    <t>Gulpen-Wittem</t>
  </si>
  <si>
    <t>Schinnen</t>
  </si>
  <si>
    <t>Venlo</t>
  </si>
  <si>
    <t>Gemeente:</t>
  </si>
  <si>
    <t>Indeling:</t>
  </si>
  <si>
    <t>1.</t>
  </si>
  <si>
    <t>2.</t>
  </si>
  <si>
    <t>4.</t>
  </si>
  <si>
    <t>Papendrecht</t>
  </si>
  <si>
    <t xml:space="preserve">  </t>
  </si>
  <si>
    <t>Verzamelde informatie:</t>
  </si>
  <si>
    <t>Task:</t>
  </si>
  <si>
    <t>Discipline:</t>
  </si>
  <si>
    <t>bedrag:</t>
  </si>
  <si>
    <t xml:space="preserve">Totaal kosten:  </t>
  </si>
  <si>
    <t xml:space="preserve">          sleuf</t>
  </si>
  <si>
    <t>tegels *</t>
  </si>
  <si>
    <t>klinkers *</t>
  </si>
  <si>
    <t>adres</t>
  </si>
  <si>
    <t>lengte</t>
  </si>
  <si>
    <t>breedte</t>
  </si>
  <si>
    <t>m2</t>
  </si>
  <si>
    <t>m1</t>
  </si>
  <si>
    <t>à</t>
  </si>
  <si>
    <t>€</t>
  </si>
  <si>
    <t>=        €</t>
  </si>
  <si>
    <t>eenh.</t>
  </si>
  <si>
    <t>per m2</t>
  </si>
  <si>
    <t>per m1</t>
  </si>
  <si>
    <t>sts</t>
  </si>
  <si>
    <t>Naam en paraaf budgethouder:</t>
  </si>
  <si>
    <t>d.d.</t>
  </si>
  <si>
    <t>AANVRAGER:</t>
  </si>
  <si>
    <t>NAAM PROJECT:</t>
  </si>
  <si>
    <t>PLAATS:</t>
  </si>
  <si>
    <t>GEMEENTE:</t>
  </si>
  <si>
    <t>Datum:</t>
  </si>
  <si>
    <t>adres:</t>
  </si>
  <si>
    <t>telefoon:</t>
  </si>
  <si>
    <t>mobiel:</t>
  </si>
  <si>
    <t>A</t>
  </si>
  <si>
    <t>C</t>
  </si>
  <si>
    <t>D</t>
  </si>
  <si>
    <t>Overige tarieven, herstel en onderhoud beheerder</t>
  </si>
  <si>
    <t>Tarief: D</t>
  </si>
  <si>
    <t>asfalt</t>
  </si>
  <si>
    <t>* de gedifinieerde sleufbreedte dient te worden aangegeven ,automatisch wordt de gatvergrotingstoeslag toegevoegd volgens de gestelde norm.</t>
  </si>
  <si>
    <t>OMSCHRIJVING STRAATWERK / BERMEN;</t>
  </si>
  <si>
    <t xml:space="preserve">opsluit- / koprolband </t>
  </si>
  <si>
    <t>categorie:</t>
  </si>
  <si>
    <t>Tarief:</t>
  </si>
  <si>
    <t>A.</t>
  </si>
  <si>
    <t>C.</t>
  </si>
  <si>
    <t>D.</t>
  </si>
  <si>
    <t>Klinkers</t>
  </si>
  <si>
    <t>Tegels</t>
  </si>
  <si>
    <t>&lt;15m2</t>
  </si>
  <si>
    <t>&gt;15m2</t>
  </si>
  <si>
    <t>&gt;100m2</t>
  </si>
  <si>
    <t>per reparatie</t>
  </si>
  <si>
    <t>Trottoirband</t>
  </si>
  <si>
    <t>Opsluitband/koprol</t>
  </si>
  <si>
    <t>bomen en struiken</t>
  </si>
  <si>
    <t>&gt;50m2</t>
  </si>
  <si>
    <t>berm/gazon &lt;50 m2</t>
  </si>
  <si>
    <t>Degeneratie per m1</t>
  </si>
  <si>
    <t>Uitvoering:</t>
  </si>
  <si>
    <t>Herstel door de aanbieder en onderhoud door de gemeente</t>
  </si>
  <si>
    <t>Herstel door de weg beheerder vooraf gaande aan algehele herbestrating</t>
  </si>
  <si>
    <t>Herstel en onderhoud uitgevoerd door de gemeente</t>
  </si>
  <si>
    <t>opsluiting</t>
  </si>
  <si>
    <t>Bermen, gazon all in*</t>
  </si>
  <si>
    <t xml:space="preserve">  Postbus 30018,  9400 RA  ASSEN</t>
  </si>
  <si>
    <t xml:space="preserve">  Postbus 3,  7875 ZG  EXLOO</t>
  </si>
  <si>
    <t xml:space="preserve">  Postbus 2, 7740 AA  COEVORDEN</t>
  </si>
  <si>
    <t xml:space="preserve">  Postbus 3001,  7800 AA  EMMEN</t>
  </si>
  <si>
    <t xml:space="preserve">  Postbus 20000,  7900 PA  HOOGEVEEN</t>
  </si>
  <si>
    <t xml:space="preserve">  Postbus 501,  7940 AM  MEPPEL</t>
  </si>
  <si>
    <t xml:space="preserve">  Postbus 24, 9410 AA  BEILEN</t>
  </si>
  <si>
    <t xml:space="preserve">  Postbus 20,  7920 AA  ZUIDWOLDE</t>
  </si>
  <si>
    <t xml:space="preserve">  Postbus 109,  9300 AC  RODEN</t>
  </si>
  <si>
    <t xml:space="preserve">  Postbus 50,  7970 AB  HAVELTE</t>
  </si>
  <si>
    <t xml:space="preserve">  Postbus 15,  9900 AA  APPINGEDAM</t>
  </si>
  <si>
    <t>Zuidplas</t>
  </si>
  <si>
    <t xml:space="preserve">  Postbus 38,  9780 AA  BEDUM</t>
  </si>
  <si>
    <t xml:space="preserve">  Postbus 11, 9965 ZG  LEENS</t>
  </si>
  <si>
    <t xml:space="preserve">  Postbus 20000,  9930 PA  DELFZIJL</t>
  </si>
  <si>
    <t xml:space="preserve">  Postbus 11,  9980 AA  UITHUIZEN</t>
  </si>
  <si>
    <t xml:space="preserve">  Postbus 2001, 9700 PB  GRONINGEN</t>
  </si>
  <si>
    <t xml:space="preserve">  Postbus 46,  9860 AA  GROOTEGAST</t>
  </si>
  <si>
    <t xml:space="preserve">  Postbus 21,  9750 AA  HAREN</t>
  </si>
  <si>
    <t xml:space="preserve">  Postbus 75,  9600 AB  HOOGEZAND</t>
  </si>
  <si>
    <t xml:space="preserve">  Postbus 100,  9350 AC  LEEK</t>
  </si>
  <si>
    <t xml:space="preserve">  Postbus 25,  9919 ZG  LOPPERSUM</t>
  </si>
  <si>
    <t xml:space="preserve">  Postbus 2, 9363 ZG  MARUM</t>
  </si>
  <si>
    <t xml:space="preserve">  Postbus 2,  9649 ZG  MUNTENDAM</t>
  </si>
  <si>
    <t xml:space="preserve">  Postbus 20000,  9665 ZM  OUDE PEKELA</t>
  </si>
  <si>
    <t xml:space="preserve">  Postbus 13, 9620 AA  SLOCHTEREN</t>
  </si>
  <si>
    <t xml:space="preserve">  Postbus 140, 9500 AC  STADSKANAAL</t>
  </si>
  <si>
    <t>Bij een juiste invoer en acceptatie zijn de tarieven in de kolom: - huidige tarief en                                          - in te voeren                              gelijk !!!</t>
  </si>
  <si>
    <t>Om de bomen, struiken en het asfalt te kunnen verrekenen kan een projektprijs worden afgesproken en ingevoerd.</t>
  </si>
  <si>
    <t xml:space="preserve">  Postbus 7,  9790 AA  TEN BOER</t>
  </si>
  <si>
    <t xml:space="preserve">  Postbus 20004,  9640 PA  VEENDAM</t>
  </si>
  <si>
    <t xml:space="preserve">  Postbus 175,  9670 AD  WINSCHOTEN</t>
  </si>
  <si>
    <t xml:space="preserve">  Postbus 10,  9950 AA  WINSUM</t>
  </si>
  <si>
    <t xml:space="preserve">  Postbus 3,  9800 AA  ZUIDHORN</t>
  </si>
  <si>
    <t>Verrekening:</t>
  </si>
  <si>
    <t>berm/gazon &gt;50 m2</t>
  </si>
  <si>
    <t>Bomen en Struiken</t>
  </si>
  <si>
    <t>kosten</t>
  </si>
  <si>
    <t xml:space="preserve">Bomen </t>
  </si>
  <si>
    <t>Struiken</t>
  </si>
  <si>
    <t xml:space="preserve">prijs </t>
  </si>
  <si>
    <t>Afgewerk d.d.</t>
  </si>
  <si>
    <t xml:space="preserve">  Postbus 58, 8800 AB  FRANEKER</t>
  </si>
  <si>
    <t xml:space="preserve">  Postbus 10000,  8860 HA  HARLINGEN</t>
  </si>
  <si>
    <t xml:space="preserve">  Postbus 34,  9076 ZN  ST. ANNAPAROCHIE</t>
  </si>
  <si>
    <t xml:space="preserve">  Postbus 1,  8730 AA  WOMMELS</t>
  </si>
  <si>
    <t>Uitvoering, onderhoud &amp; beheer tegels:</t>
  </si>
  <si>
    <t>Uitvoering, onderhoud &amp; beheer klinkers:</t>
  </si>
  <si>
    <t>Degeneratie klinkers:</t>
  </si>
  <si>
    <t>Degeneratie per m1:</t>
  </si>
  <si>
    <t>Degeneratie tegels:</t>
  </si>
  <si>
    <t>Beheerskosten klinkers:</t>
  </si>
  <si>
    <t>Onderhoud  klinkers:</t>
  </si>
  <si>
    <t>Onderhoud tegels:</t>
  </si>
  <si>
    <t>Beheerskosten tegels:</t>
  </si>
  <si>
    <t>m²</t>
  </si>
  <si>
    <t>per m²</t>
  </si>
  <si>
    <t>All in klinkers:</t>
  </si>
  <si>
    <t>All in tegels:</t>
  </si>
  <si>
    <t>All in berm/gazon:</t>
  </si>
  <si>
    <t>All in trottoirband:</t>
  </si>
  <si>
    <t>All in opsluitband/koprol:</t>
  </si>
  <si>
    <t>All in bomen:</t>
  </si>
  <si>
    <t>All in struiken:</t>
  </si>
  <si>
    <t>All in asfalt:</t>
  </si>
  <si>
    <t>=&lt;15m²</t>
  </si>
  <si>
    <t>&gt;15m²</t>
  </si>
  <si>
    <t>&gt;100m²</t>
  </si>
  <si>
    <t>per reparatie =&lt;15m²</t>
  </si>
  <si>
    <t>&gt;50m²</t>
  </si>
  <si>
    <t>m</t>
  </si>
  <si>
    <t>per m</t>
  </si>
  <si>
    <t>per eenh.</t>
  </si>
  <si>
    <t>stuks</t>
  </si>
  <si>
    <t xml:space="preserve">  Postbus 38,  8430 AA  OOSTERWOLDE</t>
  </si>
  <si>
    <t xml:space="preserve">  Postbus 10000,  9244 ZP  BEESTERZWAAG</t>
  </si>
  <si>
    <t xml:space="preserve">  Postbus 10000,  8600 HA  SNEEK</t>
  </si>
  <si>
    <t xml:space="preserve">  Postbus 14,  8880 AA  WEST-TERSCHELLING</t>
  </si>
  <si>
    <t xml:space="preserve">  Postbus 10,  8899 ZN  VLIELAND</t>
  </si>
  <si>
    <t xml:space="preserve">  Postbus 60,  8470 AB  WOLVEGA</t>
  </si>
  <si>
    <t xml:space="preserve">  Postbus 5100,  7600 GC  ALMELO</t>
  </si>
  <si>
    <t xml:space="preserve">  Postbus 200, 7620 AE  BORNE</t>
  </si>
  <si>
    <t xml:space="preserve">  Postbus 35, 7720 AA  DALSEN</t>
  </si>
  <si>
    <t xml:space="preserve">  Postbus 11,  7590 AA  DENEKAMP</t>
  </si>
  <si>
    <t xml:space="preserve">  Postbus 5000, 7400GC  DEVENTER</t>
  </si>
  <si>
    <t xml:space="preserve">  Postbus 20, 7500 AA  ENSCHEDE</t>
  </si>
  <si>
    <t xml:space="preserve">  Postbus 102,  7480 AC  HAAKSBERGEN</t>
  </si>
  <si>
    <t xml:space="preserve">  Postbus 500,  7770 BA  HARDENBERG</t>
  </si>
  <si>
    <t xml:space="preserve">  Postbus 200, 7440 AE  NIJVERDAL</t>
  </si>
  <si>
    <t xml:space="preserve">  Postbus 18, 7550 AA  HENGELO</t>
  </si>
  <si>
    <t xml:space="preserve">  Postbus 5009,  8260 GA  KAMPEN</t>
  </si>
  <si>
    <t xml:space="preserve">  Postbus 90,  7580 AB  LOSSER</t>
  </si>
  <si>
    <t xml:space="preserve">  Postbus 354,  7570 AJ  OLDENZAAL</t>
  </si>
  <si>
    <t xml:space="preserve">  Postbus 16,  8120 AA  OLST</t>
  </si>
  <si>
    <t xml:space="preserve">  Postbus 100,  7730 AC  OMMEN</t>
  </si>
  <si>
    <t xml:space="preserve">  Postbus 140,  8100 AC  RAALTE</t>
  </si>
  <si>
    <t xml:space="preserve">  Postbus 2,  7950 AA  STAPHORST</t>
  </si>
  <si>
    <t xml:space="preserve">  Postbus 162,  8330 AD  STEENWIJK</t>
  </si>
  <si>
    <t xml:space="preserve">  Postbus 67, 7670 AB  VRIEZENVEEN</t>
  </si>
  <si>
    <t xml:space="preserve">  Postbus 43,  7640 AA  WIERDEN</t>
  </si>
  <si>
    <t xml:space="preserve">  Postbus 23,  8060 AA  HASSELT</t>
  </si>
  <si>
    <t xml:space="preserve">  Postbus 10007,  8000 GA  ZWOLLE</t>
  </si>
  <si>
    <t xml:space="preserve">  Postbus 155,  8300 AD EMMELOORD</t>
  </si>
  <si>
    <t xml:space="preserve">  Postbus 77,  8320 AB  URK</t>
  </si>
  <si>
    <t>Keuze wie het werk uitvoert?</t>
  </si>
  <si>
    <t>-</t>
  </si>
  <si>
    <t>Onderhoud klinkers</t>
  </si>
  <si>
    <t>Onderhoud tegels</t>
  </si>
  <si>
    <t>Herstel &amp; onderhoud aanbieder</t>
  </si>
  <si>
    <t>Herstel &amp; onderhoud uitgevoerd door de wegbeheerder:</t>
  </si>
  <si>
    <t xml:space="preserve">  Postbus 1,  2650 AA  BERKEL &amp; RODENRIJS</t>
  </si>
  <si>
    <t>Koggenland</t>
  </si>
  <si>
    <t xml:space="preserve">  Postbus 21 1633 ZG AVENHORN</t>
  </si>
  <si>
    <t>Lansingerland</t>
  </si>
  <si>
    <t>Herstel aanb. &amp; onderh. wegbeh.</t>
  </si>
  <si>
    <t>onder de berekening van de beheerskosten in deze "Richtlijn".</t>
  </si>
  <si>
    <t>Samenvatting:</t>
  </si>
  <si>
    <t xml:space="preserve">De Richtlijn bevat: </t>
  </si>
  <si>
    <t>In de rekenmethodiek van de "Richtlijn"zijn nu ook groenvoorzieningen opgenomen.</t>
  </si>
  <si>
    <t>Toepassing:</t>
  </si>
  <si>
    <t>Werking "Rekenblad":</t>
  </si>
  <si>
    <t>Tevens kan door scrollen de aard van de werkzaamheden worden ingesteld.</t>
  </si>
  <si>
    <t>Door beide scrollbeweging uit te voeren worden de bij u gemeente  behorende tarieven ingesteld.</t>
  </si>
  <si>
    <t>Bergen (L.)</t>
  </si>
  <si>
    <t>Bergen (NH.)</t>
  </si>
  <si>
    <t>Hengelo (O.)</t>
  </si>
  <si>
    <t xml:space="preserve">  Postbus 20,  4043 ZG  OPHEUSDEN</t>
  </si>
  <si>
    <t>s-Gravenhage</t>
  </si>
  <si>
    <t xml:space="preserve">  Postbus 12600,  2500 DJ  's-GRAVENHAGE</t>
  </si>
  <si>
    <t xml:space="preserve">s-Hertogenbosch </t>
  </si>
  <si>
    <t>degeneratiekosten bij (graaf)werkzaamheden door aanbieders, in openbare gronden die in eigendom of beheer zijn van gemeenten.</t>
  </si>
  <si>
    <t>Herstel wegbeheerder voor al- gehele herbestrating</t>
  </si>
  <si>
    <t>Melding en berekening straatwerk,  2016</t>
  </si>
  <si>
    <t>De Gemeenten van Nederland per 01-01-2015</t>
  </si>
  <si>
    <t>Krimpenerwaard</t>
  </si>
  <si>
    <t>Nissewaard</t>
  </si>
  <si>
    <t xml:space="preserve">  Postbus 25, 3200 AA SPIJKENISSE</t>
  </si>
  <si>
    <t xml:space="preserve">  Postbus 51, 2820 AB STOLWIJK</t>
  </si>
  <si>
    <t xml:space="preserve">  Postbus 5, 2970 AA BLESKENSGRAAF</t>
  </si>
  <si>
    <t xml:space="preserve">  Postbus 3008, 6093 ZG HEYTHUYSEN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</si>
</sst>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€&quot;\ #,##0.00_-;&quot;€&quot;\ #,##0.00\-"/>
    <numFmt numFmtId="44" formatCode="_-&quot;€&quot;\ * #,##0.00_-;_-&quot;€&quot;\ * #,##0.00\-;_-&quot;€&quot;\ * &quot;-&quot;??_-;_-@_-"/>
    <numFmt numFmtId="164" formatCode="&quot;fl&quot;\ #,##0.00_-;[Red]&quot;fl&quot;\ #,##0.00\-"/>
    <numFmt numFmtId="165" formatCode="_-&quot;fl&quot;\ * #,##0.00_-;_-&quot;fl&quot;\ * #,##0.00\-;_-&quot;fl&quot;\ * &quot;-&quot;??_-;_-@_-"/>
    <numFmt numFmtId="166" formatCode="dd\/mm\/yy_)"/>
    <numFmt numFmtId="167" formatCode="0.00_)"/>
    <numFmt numFmtId="168" formatCode="&quot;€&quot;\ #,##0.00_-"/>
    <numFmt numFmtId="169" formatCode="#,##0.00_);\(#,##0.00\)"/>
    <numFmt numFmtId="170" formatCode="#,##0.00_-"/>
    <numFmt numFmtId="171" formatCode="d\ mmmm\ yyyy"/>
    <numFmt numFmtId="172" formatCode="0.0"/>
    <numFmt numFmtId="173" formatCode="_-\€\ * #,##0.00_-;_-\€\ * #,##0.00\-;_-\€\ * &quot;-&quot;??_-;_-@_-"/>
    <numFmt numFmtId="174" formatCode="#,##0_);\(#,##0\)"/>
    <numFmt numFmtId="175" formatCode="0.000"/>
    <numFmt numFmtId="176" formatCode="dd/mm/yy"/>
    <numFmt numFmtId="177" formatCode="0#########"/>
  </numFmts>
  <fonts count="65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9"/>
      <color indexed="12"/>
      <name val="Arial MT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 MT"/>
    </font>
    <font>
      <sz val="12"/>
      <color indexed="9"/>
      <name val="Arial MT"/>
    </font>
    <font>
      <sz val="12"/>
      <color indexed="12"/>
      <name val="Arial MT"/>
      <family val="2"/>
    </font>
    <font>
      <sz val="12"/>
      <color indexed="9"/>
      <name val="Arial"/>
      <family val="2"/>
    </font>
    <font>
      <sz val="10"/>
      <color indexed="8"/>
      <name val="Arial MT"/>
    </font>
    <font>
      <b/>
      <sz val="10"/>
      <name val="Arial MT"/>
    </font>
    <font>
      <b/>
      <sz val="16"/>
      <color indexed="8"/>
      <name val="Arial"/>
      <family val="2"/>
    </font>
    <font>
      <b/>
      <sz val="10"/>
      <color indexed="8"/>
      <name val="Arial MT"/>
    </font>
    <font>
      <b/>
      <sz val="10"/>
      <color indexed="9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 MT"/>
    </font>
    <font>
      <sz val="10"/>
      <color indexed="8"/>
      <name val="Arial MT"/>
      <family val="2"/>
    </font>
    <font>
      <b/>
      <sz val="10"/>
      <color indexed="12"/>
      <name val="Arial"/>
      <family val="2"/>
    </font>
    <font>
      <b/>
      <sz val="10"/>
      <color indexed="12"/>
      <name val="Arial MT"/>
      <family val="2"/>
    </font>
    <font>
      <sz val="10"/>
      <color indexed="9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 MT"/>
      <family val="2"/>
    </font>
    <font>
      <b/>
      <sz val="20"/>
      <color indexed="8"/>
      <name val="Arial MT"/>
    </font>
    <font>
      <u val="singleAccounting"/>
      <sz val="10"/>
      <color indexed="8"/>
      <name val="Arial"/>
      <family val="2"/>
    </font>
    <font>
      <b/>
      <u val="doubleAccounting"/>
      <sz val="10"/>
      <color indexed="8"/>
      <name val="Arial"/>
      <family val="2"/>
    </font>
    <font>
      <b/>
      <sz val="14"/>
      <name val="Univers (WN)"/>
    </font>
    <font>
      <sz val="10"/>
      <name val="Arial MT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Univers (WN)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u val="double"/>
      <sz val="8"/>
      <color indexed="8"/>
      <name val="Arial"/>
      <family val="2"/>
    </font>
    <font>
      <u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3333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</borders>
  <cellStyleXfs count="1">
    <xf numFmtId="0" fontId="0" fillId="0" borderId="0"/>
  </cellStyleXfs>
  <cellXfs count="398">
    <xf numFmtId="0" fontId="0" fillId="0" borderId="0" xfId="0"/>
    <xf numFmtId="167" fontId="20" fillId="2" borderId="1" xfId="0" applyNumberFormat="1" applyFont="1" applyFill="1" applyBorder="1" applyAlignment="1" applyProtection="1">
      <alignment horizontal="center"/>
      <protection hidden="1"/>
    </xf>
    <xf numFmtId="167" fontId="20" fillId="2" borderId="2" xfId="0" applyNumberFormat="1" applyFont="1" applyFill="1" applyBorder="1" applyProtection="1">
      <protection hidden="1"/>
    </xf>
    <xf numFmtId="167" fontId="20" fillId="2" borderId="1" xfId="0" applyNumberFormat="1" applyFont="1" applyFill="1" applyBorder="1" applyProtection="1">
      <protection hidden="1"/>
    </xf>
    <xf numFmtId="167" fontId="28" fillId="2" borderId="3" xfId="0" applyNumberFormat="1" applyFont="1" applyFill="1" applyBorder="1" applyProtection="1">
      <protection hidden="1"/>
    </xf>
    <xf numFmtId="167" fontId="28" fillId="2" borderId="4" xfId="0" applyNumberFormat="1" applyFont="1" applyFill="1" applyBorder="1" applyProtection="1">
      <protection hidden="1"/>
    </xf>
    <xf numFmtId="169" fontId="23" fillId="2" borderId="0" xfId="0" applyNumberFormat="1" applyFont="1" applyFill="1" applyAlignment="1" applyProtection="1">
      <alignment horizontal="right"/>
      <protection hidden="1"/>
    </xf>
    <xf numFmtId="167" fontId="27" fillId="2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7" fontId="29" fillId="2" borderId="5" xfId="0" applyNumberFormat="1" applyFont="1" applyFill="1" applyBorder="1" applyAlignment="1" applyProtection="1">
      <alignment horizontal="center"/>
      <protection hidden="1"/>
    </xf>
    <xf numFmtId="4" fontId="48" fillId="2" borderId="5" xfId="0" applyNumberFormat="1" applyFont="1" applyFill="1" applyBorder="1" applyAlignment="1" applyProtection="1">
      <alignment horizontal="center"/>
      <protection hidden="1"/>
    </xf>
    <xf numFmtId="4" fontId="48" fillId="2" borderId="6" xfId="0" applyNumberFormat="1" applyFont="1" applyFill="1" applyBorder="1" applyAlignment="1" applyProtection="1">
      <alignment horizontal="center"/>
      <protection hidden="1"/>
    </xf>
    <xf numFmtId="172" fontId="29" fillId="3" borderId="1" xfId="0" applyNumberFormat="1" applyFont="1" applyFill="1" applyBorder="1" applyAlignment="1" applyProtection="1">
      <protection locked="0" hidden="1"/>
    </xf>
    <xf numFmtId="167" fontId="30" fillId="3" borderId="1" xfId="0" applyNumberFormat="1" applyFont="1" applyFill="1" applyBorder="1" applyAlignment="1" applyProtection="1">
      <protection locked="0" hidden="1"/>
    </xf>
    <xf numFmtId="170" fontId="27" fillId="3" borderId="1" xfId="0" applyNumberFormat="1" applyFont="1" applyFill="1" applyBorder="1" applyAlignment="1" applyProtection="1">
      <protection locked="0" hidden="1"/>
    </xf>
    <xf numFmtId="172" fontId="29" fillId="3" borderId="6" xfId="0" applyNumberFormat="1" applyFont="1" applyFill="1" applyBorder="1" applyAlignment="1" applyProtection="1">
      <protection locked="0" hidden="1"/>
    </xf>
    <xf numFmtId="167" fontId="30" fillId="3" borderId="6" xfId="0" applyNumberFormat="1" applyFont="1" applyFill="1" applyBorder="1" applyAlignment="1" applyProtection="1">
      <protection locked="0" hidden="1"/>
    </xf>
    <xf numFmtId="170" fontId="27" fillId="3" borderId="6" xfId="0" applyNumberFormat="1" applyFont="1" applyFill="1" applyBorder="1" applyAlignment="1" applyProtection="1">
      <protection locked="0" hidden="1"/>
    </xf>
    <xf numFmtId="167" fontId="27" fillId="4" borderId="7" xfId="0" applyNumberFormat="1" applyFont="1" applyFill="1" applyBorder="1" applyAlignment="1" applyProtection="1">
      <alignment horizontal="center"/>
      <protection locked="0" hidden="1"/>
    </xf>
    <xf numFmtId="167" fontId="27" fillId="4" borderId="8" xfId="0" applyNumberFormat="1" applyFont="1" applyFill="1" applyBorder="1" applyAlignment="1" applyProtection="1">
      <alignment horizontal="center"/>
      <protection locked="0" hidden="1"/>
    </xf>
    <xf numFmtId="172" fontId="27" fillId="3" borderId="9" xfId="0" applyNumberFormat="1" applyFont="1" applyFill="1" applyBorder="1" applyProtection="1">
      <protection locked="0" hidden="1"/>
    </xf>
    <xf numFmtId="167" fontId="27" fillId="3" borderId="9" xfId="0" applyNumberFormat="1" applyFont="1" applyFill="1" applyBorder="1" applyProtection="1">
      <protection locked="0" hidden="1"/>
    </xf>
    <xf numFmtId="172" fontId="27" fillId="3" borderId="10" xfId="0" applyNumberFormat="1" applyFont="1" applyFill="1" applyBorder="1" applyProtection="1">
      <protection locked="0" hidden="1"/>
    </xf>
    <xf numFmtId="167" fontId="27" fillId="3" borderId="11" xfId="0" applyNumberFormat="1" applyFont="1" applyFill="1" applyBorder="1" applyProtection="1">
      <protection locked="0" hidden="1"/>
    </xf>
    <xf numFmtId="0" fontId="22" fillId="2" borderId="12" xfId="0" applyFont="1" applyFill="1" applyBorder="1" applyAlignment="1" applyProtection="1">
      <alignment horizontal="center" vertical="center"/>
      <protection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167" fontId="34" fillId="2" borderId="0" xfId="0" applyNumberFormat="1" applyFont="1" applyFill="1" applyAlignment="1" applyProtection="1">
      <alignment horizontal="right"/>
      <protection hidden="1"/>
    </xf>
    <xf numFmtId="167" fontId="20" fillId="2" borderId="6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5" fillId="2" borderId="0" xfId="0" applyFont="1" applyFill="1" applyBorder="1" applyAlignment="1" applyProtection="1">
      <alignment horizontal="right"/>
      <protection hidden="1"/>
    </xf>
    <xf numFmtId="2" fontId="12" fillId="2" borderId="0" xfId="0" applyNumberFormat="1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Protection="1">
      <protection hidden="1"/>
    </xf>
    <xf numFmtId="0" fontId="13" fillId="2" borderId="3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7" fillId="2" borderId="10" xfId="0" applyFont="1" applyFill="1" applyBorder="1" applyProtection="1">
      <protection hidden="1"/>
    </xf>
    <xf numFmtId="0" fontId="15" fillId="2" borderId="1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29" fillId="2" borderId="7" xfId="0" applyFont="1" applyFill="1" applyBorder="1" applyAlignment="1" applyProtection="1">
      <alignment horizontal="center"/>
      <protection hidden="1"/>
    </xf>
    <xf numFmtId="0" fontId="29" fillId="2" borderId="15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29" fillId="2" borderId="16" xfId="0" applyFont="1" applyFill="1" applyBorder="1" applyAlignment="1" applyProtection="1">
      <alignment horizontal="center"/>
      <protection hidden="1"/>
    </xf>
    <xf numFmtId="0" fontId="29" fillId="2" borderId="17" xfId="0" applyFont="1" applyFill="1" applyBorder="1" applyAlignment="1" applyProtection="1">
      <alignment horizontal="center"/>
      <protection hidden="1"/>
    </xf>
    <xf numFmtId="172" fontId="27" fillId="3" borderId="15" xfId="0" applyNumberFormat="1" applyFont="1" applyFill="1" applyBorder="1" applyProtection="1">
      <protection locked="0" hidden="1"/>
    </xf>
    <xf numFmtId="167" fontId="27" fillId="3" borderId="15" xfId="0" applyNumberFormat="1" applyFont="1" applyFill="1" applyBorder="1" applyProtection="1">
      <protection locked="0" hidden="1"/>
    </xf>
    <xf numFmtId="167" fontId="16" fillId="2" borderId="10" xfId="0" applyNumberFormat="1" applyFont="1" applyFill="1" applyBorder="1" applyProtection="1">
      <protection locked="0" hidden="1"/>
    </xf>
    <xf numFmtId="167" fontId="16" fillId="2" borderId="0" xfId="0" applyNumberFormat="1" applyFont="1" applyFill="1" applyBorder="1" applyProtection="1">
      <protection locked="0" hidden="1"/>
    </xf>
    <xf numFmtId="172" fontId="27" fillId="3" borderId="18" xfId="0" applyNumberFormat="1" applyFont="1" applyFill="1" applyBorder="1" applyProtection="1">
      <protection locked="0" hidden="1"/>
    </xf>
    <xf numFmtId="167" fontId="27" fillId="3" borderId="6" xfId="0" applyNumberFormat="1" applyFont="1" applyFill="1" applyBorder="1" applyProtection="1">
      <protection locked="0" hidden="1"/>
    </xf>
    <xf numFmtId="172" fontId="27" fillId="3" borderId="8" xfId="0" applyNumberFormat="1" applyFont="1" applyFill="1" applyBorder="1" applyProtection="1">
      <protection locked="0" hidden="1"/>
    </xf>
    <xf numFmtId="167" fontId="17" fillId="2" borderId="0" xfId="0" applyNumberFormat="1" applyFont="1" applyFill="1" applyBorder="1" applyProtection="1">
      <protection locked="0" hidden="1"/>
    </xf>
    <xf numFmtId="167" fontId="18" fillId="2" borderId="0" xfId="0" applyNumberFormat="1" applyFont="1" applyFill="1" applyBorder="1" applyProtection="1">
      <protection locked="0" hidden="1"/>
    </xf>
    <xf numFmtId="167" fontId="17" fillId="2" borderId="0" xfId="0" applyNumberFormat="1" applyFont="1" applyFill="1" applyBorder="1" applyProtection="1">
      <protection hidden="1"/>
    </xf>
    <xf numFmtId="167" fontId="19" fillId="2" borderId="0" xfId="0" applyNumberFormat="1" applyFont="1" applyFill="1" applyBorder="1" applyProtection="1">
      <protection hidden="1"/>
    </xf>
    <xf numFmtId="0" fontId="29" fillId="0" borderId="1" xfId="0" applyFont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center"/>
      <protection hidden="1"/>
    </xf>
    <xf numFmtId="0" fontId="29" fillId="2" borderId="1" xfId="0" applyFont="1" applyFill="1" applyBorder="1" applyAlignment="1" applyProtection="1">
      <alignment horizontal="center"/>
      <protection hidden="1"/>
    </xf>
    <xf numFmtId="172" fontId="27" fillId="3" borderId="1" xfId="0" applyNumberFormat="1" applyFont="1" applyFill="1" applyBorder="1" applyProtection="1">
      <protection locked="0" hidden="1"/>
    </xf>
    <xf numFmtId="167" fontId="27" fillId="3" borderId="5" xfId="0" applyNumberFormat="1" applyFont="1" applyFill="1" applyBorder="1" applyProtection="1">
      <protection locked="0" hidden="1"/>
    </xf>
    <xf numFmtId="167" fontId="21" fillId="2" borderId="1" xfId="0" applyNumberFormat="1" applyFont="1" applyFill="1" applyBorder="1" applyProtection="1">
      <protection hidden="1"/>
    </xf>
    <xf numFmtId="7" fontId="29" fillId="5" borderId="1" xfId="0" applyNumberFormat="1" applyFont="1" applyFill="1" applyBorder="1" applyProtection="1">
      <protection locked="0" hidden="1"/>
    </xf>
    <xf numFmtId="172" fontId="27" fillId="3" borderId="6" xfId="0" applyNumberFormat="1" applyFont="1" applyFill="1" applyBorder="1" applyProtection="1">
      <protection locked="0" hidden="1"/>
    </xf>
    <xf numFmtId="167" fontId="27" fillId="3" borderId="18" xfId="0" applyNumberFormat="1" applyFont="1" applyFill="1" applyBorder="1" applyProtection="1">
      <protection locked="0" hidden="1"/>
    </xf>
    <xf numFmtId="167" fontId="21" fillId="2" borderId="6" xfId="0" applyNumberFormat="1" applyFont="1" applyFill="1" applyBorder="1" applyProtection="1">
      <protection hidden="1"/>
    </xf>
    <xf numFmtId="7" fontId="29" fillId="5" borderId="6" xfId="0" applyNumberFormat="1" applyFont="1" applyFill="1" applyBorder="1" applyProtection="1">
      <protection locked="0" hidden="1"/>
    </xf>
    <xf numFmtId="0" fontId="57" fillId="2" borderId="0" xfId="0" applyFont="1" applyFill="1" applyAlignment="1" applyProtection="1">
      <alignment horizontal="center" vertical="top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49" fontId="12" fillId="2" borderId="0" xfId="0" applyNumberFormat="1" applyFont="1" applyFill="1" applyProtection="1">
      <protection hidden="1"/>
    </xf>
    <xf numFmtId="49" fontId="12" fillId="2" borderId="0" xfId="0" applyNumberFormat="1" applyFont="1" applyFill="1" applyAlignment="1" applyProtection="1">
      <alignment horizontal="right"/>
      <protection hidden="1"/>
    </xf>
    <xf numFmtId="0" fontId="12" fillId="2" borderId="19" xfId="0" applyFont="1" applyFill="1" applyBorder="1" applyProtection="1">
      <protection hidden="1"/>
    </xf>
    <xf numFmtId="0" fontId="34" fillId="2" borderId="19" xfId="0" applyFont="1" applyFill="1" applyBorder="1" applyProtection="1">
      <protection hidden="1"/>
    </xf>
    <xf numFmtId="167" fontId="12" fillId="2" borderId="19" xfId="0" applyNumberFormat="1" applyFont="1" applyFill="1" applyBorder="1" applyAlignment="1" applyProtection="1">
      <alignment horizontal="right"/>
      <protection hidden="1"/>
    </xf>
    <xf numFmtId="0" fontId="34" fillId="2" borderId="19" xfId="0" applyFont="1" applyFill="1" applyBorder="1" applyAlignment="1" applyProtection="1">
      <alignment horizontal="right"/>
      <protection hidden="1"/>
    </xf>
    <xf numFmtId="170" fontId="34" fillId="2" borderId="1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73" fontId="15" fillId="6" borderId="0" xfId="0" applyNumberFormat="1" applyFont="1" applyFill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44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1" fillId="6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171" fontId="49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44" fontId="0" fillId="7" borderId="0" xfId="0" applyNumberFormat="1" applyFill="1" applyProtection="1">
      <protection hidden="1"/>
    </xf>
    <xf numFmtId="44" fontId="0" fillId="6" borderId="0" xfId="0" applyNumberFormat="1" applyFill="1" applyProtection="1">
      <protection hidden="1"/>
    </xf>
    <xf numFmtId="0" fontId="29" fillId="6" borderId="0" xfId="0" applyFont="1" applyFill="1" applyBorder="1" applyAlignment="1" applyProtection="1">
      <alignment horizontal="right"/>
      <protection hidden="1"/>
    </xf>
    <xf numFmtId="0" fontId="29" fillId="6" borderId="0" xfId="0" applyFont="1" applyFill="1" applyAlignment="1" applyProtection="1">
      <alignment horizontal="right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26" fillId="6" borderId="0" xfId="0" applyFont="1" applyFill="1" applyAlignment="1" applyProtection="1">
      <alignment horizontal="center"/>
      <protection locked="0" hidden="1"/>
    </xf>
    <xf numFmtId="0" fontId="24" fillId="6" borderId="0" xfId="0" applyFont="1" applyFill="1" applyAlignment="1" applyProtection="1">
      <alignment horizontal="center"/>
      <protection hidden="1"/>
    </xf>
    <xf numFmtId="0" fontId="0" fillId="6" borderId="20" xfId="0" applyFill="1" applyBorder="1" applyAlignment="1" applyProtection="1">
      <protection hidden="1"/>
    </xf>
    <xf numFmtId="0" fontId="24" fillId="6" borderId="0" xfId="0" applyFont="1" applyFill="1" applyAlignment="1" applyProtection="1">
      <alignment horizontal="left"/>
      <protection hidden="1"/>
    </xf>
    <xf numFmtId="0" fontId="9" fillId="6" borderId="0" xfId="0" applyFont="1" applyFill="1" applyProtection="1">
      <protection hidden="1"/>
    </xf>
    <xf numFmtId="0" fontId="1" fillId="6" borderId="0" xfId="0" applyFont="1" applyFill="1" applyAlignment="1" applyProtection="1">
      <alignment horizontal="right"/>
      <protection hidden="1"/>
    </xf>
    <xf numFmtId="0" fontId="0" fillId="6" borderId="0" xfId="0" applyFill="1" applyAlignment="1" applyProtection="1">
      <protection hidden="1"/>
    </xf>
    <xf numFmtId="0" fontId="0" fillId="6" borderId="21" xfId="0" applyFill="1" applyBorder="1" applyProtection="1">
      <protection hidden="1"/>
    </xf>
    <xf numFmtId="166" fontId="21" fillId="6" borderId="0" xfId="0" applyNumberFormat="1" applyFont="1" applyFill="1" applyAlignment="1" applyProtection="1">
      <alignment horizontal="center"/>
      <protection locked="0" hidden="1"/>
    </xf>
    <xf numFmtId="167" fontId="0" fillId="6" borderId="0" xfId="0" applyNumberFormat="1" applyFill="1" applyProtection="1">
      <protection hidden="1"/>
    </xf>
    <xf numFmtId="0" fontId="56" fillId="6" borderId="22" xfId="0" applyFont="1" applyFill="1" applyBorder="1" applyAlignment="1" applyProtection="1">
      <alignment horizontal="center" vertical="center"/>
      <protection hidden="1"/>
    </xf>
    <xf numFmtId="167" fontId="19" fillId="6" borderId="0" xfId="0" applyNumberFormat="1" applyFont="1" applyFill="1" applyProtection="1">
      <protection hidden="1"/>
    </xf>
    <xf numFmtId="167" fontId="31" fillId="6" borderId="0" xfId="0" applyNumberFormat="1" applyFont="1" applyFill="1" applyProtection="1">
      <protection hidden="1"/>
    </xf>
    <xf numFmtId="170" fontId="31" fillId="6" borderId="0" xfId="0" applyNumberFormat="1" applyFont="1" applyFill="1" applyProtection="1">
      <protection hidden="1"/>
    </xf>
    <xf numFmtId="167" fontId="19" fillId="6" borderId="0" xfId="0" applyNumberFormat="1" applyFont="1" applyFill="1" applyBorder="1" applyAlignment="1" applyProtection="1">
      <alignment horizontal="center"/>
      <protection hidden="1"/>
    </xf>
    <xf numFmtId="0" fontId="11" fillId="6" borderId="0" xfId="0" applyFont="1" applyFill="1" applyProtection="1">
      <protection hidden="1"/>
    </xf>
    <xf numFmtId="0" fontId="53" fillId="6" borderId="0" xfId="0" applyFont="1" applyFill="1" applyAlignment="1" applyProtection="1">
      <alignment horizontal="right"/>
      <protection hidden="1"/>
    </xf>
    <xf numFmtId="0" fontId="53" fillId="6" borderId="0" xfId="0" applyFont="1" applyFill="1" applyProtection="1">
      <protection hidden="1"/>
    </xf>
    <xf numFmtId="0" fontId="54" fillId="6" borderId="0" xfId="0" applyFont="1" applyFill="1" applyProtection="1">
      <protection hidden="1"/>
    </xf>
    <xf numFmtId="167" fontId="11" fillId="6" borderId="0" xfId="0" applyNumberFormat="1" applyFont="1" applyFill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right"/>
      <protection hidden="1"/>
    </xf>
    <xf numFmtId="49" fontId="54" fillId="6" borderId="0" xfId="0" applyNumberFormat="1" applyFont="1" applyFill="1" applyAlignment="1" applyProtection="1">
      <alignment horizontal="right"/>
      <protection hidden="1"/>
    </xf>
    <xf numFmtId="0" fontId="11" fillId="6" borderId="0" xfId="0" applyFont="1" applyFill="1" applyAlignment="1" applyProtection="1">
      <alignment horizontal="center"/>
      <protection hidden="1"/>
    </xf>
    <xf numFmtId="49" fontId="11" fillId="6" borderId="0" xfId="0" applyNumberFormat="1" applyFont="1" applyFill="1" applyProtection="1">
      <protection hidden="1"/>
    </xf>
    <xf numFmtId="49" fontId="53" fillId="6" borderId="0" xfId="0" applyNumberFormat="1" applyFont="1" applyFill="1" applyAlignment="1" applyProtection="1">
      <alignment horizontal="right"/>
      <protection hidden="1"/>
    </xf>
    <xf numFmtId="0" fontId="53" fillId="6" borderId="0" xfId="0" applyFont="1" applyFill="1" applyAlignment="1" applyProtection="1">
      <alignment horizontal="center"/>
      <protection hidden="1"/>
    </xf>
    <xf numFmtId="1" fontId="54" fillId="6" borderId="0" xfId="0" applyNumberFormat="1" applyFont="1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58" fillId="6" borderId="0" xfId="0" applyFont="1" applyFill="1" applyProtection="1">
      <protection hidden="1"/>
    </xf>
    <xf numFmtId="49" fontId="0" fillId="6" borderId="0" xfId="0" applyNumberFormat="1" applyFill="1" applyProtection="1">
      <protection hidden="1"/>
    </xf>
    <xf numFmtId="49" fontId="1" fillId="6" borderId="0" xfId="0" applyNumberFormat="1" applyFont="1" applyFill="1" applyProtection="1">
      <protection hidden="1"/>
    </xf>
    <xf numFmtId="49" fontId="0" fillId="6" borderId="0" xfId="0" applyNumberForma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49" fontId="0" fillId="6" borderId="0" xfId="0" applyNumberFormat="1" applyFill="1" applyAlignment="1" applyProtection="1">
      <alignment horizontal="right"/>
      <protection hidden="1"/>
    </xf>
    <xf numFmtId="49" fontId="5" fillId="6" borderId="0" xfId="0" applyNumberFormat="1" applyFont="1" applyFill="1" applyProtection="1">
      <protection hidden="1"/>
    </xf>
    <xf numFmtId="0" fontId="2" fillId="6" borderId="0" xfId="0" applyFont="1" applyFill="1" applyAlignment="1" applyProtection="1">
      <alignment horizontal="left"/>
      <protection hidden="1"/>
    </xf>
    <xf numFmtId="2" fontId="0" fillId="6" borderId="0" xfId="0" applyNumberFormat="1" applyFill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0" fillId="6" borderId="0" xfId="0" applyNumberFormat="1" applyFill="1" applyProtection="1">
      <protection hidden="1"/>
    </xf>
    <xf numFmtId="0" fontId="44" fillId="8" borderId="0" xfId="0" applyFont="1" applyFill="1" applyProtection="1">
      <protection locked="0" hidden="1"/>
    </xf>
    <xf numFmtId="0" fontId="20" fillId="8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4" fillId="6" borderId="0" xfId="0" applyFont="1" applyFill="1" applyAlignment="1" applyProtection="1">
      <alignment horizontal="center"/>
      <protection hidden="1"/>
    </xf>
    <xf numFmtId="2" fontId="1" fillId="6" borderId="0" xfId="0" applyNumberFormat="1" applyFont="1" applyFill="1" applyProtection="1">
      <protection hidden="1"/>
    </xf>
    <xf numFmtId="2" fontId="0" fillId="6" borderId="0" xfId="0" applyNumberFormat="1" applyFill="1" applyProtection="1">
      <protection hidden="1"/>
    </xf>
    <xf numFmtId="0" fontId="20" fillId="8" borderId="19" xfId="0" applyFont="1" applyFill="1" applyBorder="1" applyProtection="1">
      <protection hidden="1"/>
    </xf>
    <xf numFmtId="0" fontId="1" fillId="6" borderId="0" xfId="0" applyFont="1" applyFill="1" applyAlignment="1" applyProtection="1">
      <alignment horizontal="left" vertical="center"/>
      <protection hidden="1"/>
    </xf>
    <xf numFmtId="0" fontId="37" fillId="8" borderId="19" xfId="0" applyFont="1" applyFill="1" applyBorder="1" applyProtection="1">
      <protection locked="0" hidden="1"/>
    </xf>
    <xf numFmtId="0" fontId="43" fillId="8" borderId="19" xfId="0" applyFont="1" applyFill="1" applyBorder="1" applyProtection="1">
      <protection locked="0" hidden="1"/>
    </xf>
    <xf numFmtId="0" fontId="15" fillId="8" borderId="19" xfId="0" applyFont="1" applyFill="1" applyBorder="1" applyProtection="1">
      <protection hidden="1"/>
    </xf>
    <xf numFmtId="0" fontId="38" fillId="6" borderId="0" xfId="0" applyFont="1" applyFill="1" applyProtection="1">
      <protection hidden="1"/>
    </xf>
    <xf numFmtId="0" fontId="39" fillId="6" borderId="0" xfId="0" applyFont="1" applyFill="1" applyProtection="1">
      <protection hidden="1"/>
    </xf>
    <xf numFmtId="0" fontId="15" fillId="6" borderId="0" xfId="0" applyFont="1" applyFill="1" applyAlignment="1" applyProtection="1">
      <alignment horizontal="left"/>
      <protection locked="0" hidden="1"/>
    </xf>
    <xf numFmtId="0" fontId="38" fillId="6" borderId="0" xfId="0" applyFont="1" applyFill="1" applyAlignment="1" applyProtection="1">
      <alignment horizontal="left"/>
      <protection locked="0" hidden="1"/>
    </xf>
    <xf numFmtId="169" fontId="38" fillId="6" borderId="0" xfId="0" applyNumberFormat="1" applyFont="1" applyFill="1" applyAlignment="1" applyProtection="1">
      <alignment horizontal="left"/>
      <protection locked="0" hidden="1"/>
    </xf>
    <xf numFmtId="0" fontId="38" fillId="6" borderId="0" xfId="0" applyFont="1" applyFill="1" applyAlignment="1" applyProtection="1">
      <alignment horizontal="left"/>
      <protection hidden="1"/>
    </xf>
    <xf numFmtId="173" fontId="38" fillId="6" borderId="0" xfId="0" applyNumberFormat="1" applyFont="1" applyFill="1" applyAlignment="1" applyProtection="1">
      <alignment horizontal="left"/>
      <protection hidden="1"/>
    </xf>
    <xf numFmtId="2" fontId="11" fillId="6" borderId="0" xfId="0" applyNumberFormat="1" applyFont="1" applyFill="1" applyProtection="1">
      <protection hidden="1"/>
    </xf>
    <xf numFmtId="0" fontId="40" fillId="6" borderId="0" xfId="0" applyFont="1" applyFill="1" applyAlignment="1" applyProtection="1">
      <alignment horizontal="left"/>
      <protection locked="0" hidden="1"/>
    </xf>
    <xf numFmtId="173" fontId="38" fillId="6" borderId="0" xfId="0" quotePrefix="1" applyNumberFormat="1" applyFont="1" applyFill="1" applyAlignment="1" applyProtection="1">
      <alignment horizontal="left"/>
      <protection locked="0" hidden="1"/>
    </xf>
    <xf numFmtId="0" fontId="38" fillId="6" borderId="0" xfId="0" applyFont="1" applyFill="1" applyProtection="1">
      <protection locked="0" hidden="1"/>
    </xf>
    <xf numFmtId="173" fontId="38" fillId="6" borderId="0" xfId="0" applyNumberFormat="1" applyFont="1" applyFill="1" applyAlignment="1" applyProtection="1">
      <alignment horizontal="left"/>
      <protection locked="0" hidden="1"/>
    </xf>
    <xf numFmtId="164" fontId="38" fillId="6" borderId="0" xfId="0" applyNumberFormat="1" applyFont="1" applyFill="1" applyAlignment="1" applyProtection="1">
      <alignment horizontal="left"/>
      <protection hidden="1"/>
    </xf>
    <xf numFmtId="169" fontId="38" fillId="6" borderId="0" xfId="0" applyNumberFormat="1" applyFont="1" applyFill="1" applyAlignment="1" applyProtection="1">
      <alignment horizontal="right"/>
      <protection locked="0" hidden="1"/>
    </xf>
    <xf numFmtId="10" fontId="38" fillId="6" borderId="0" xfId="0" applyNumberFormat="1" applyFont="1" applyFill="1" applyAlignment="1" applyProtection="1">
      <alignment horizontal="left"/>
      <protection hidden="1"/>
    </xf>
    <xf numFmtId="165" fontId="38" fillId="6" borderId="0" xfId="0" quotePrefix="1" applyNumberFormat="1" applyFont="1" applyFill="1" applyAlignment="1" applyProtection="1">
      <alignment horizontal="left"/>
      <protection locked="0" hidden="1"/>
    </xf>
    <xf numFmtId="9" fontId="38" fillId="6" borderId="0" xfId="0" applyNumberFormat="1" applyFont="1" applyFill="1" applyAlignment="1" applyProtection="1">
      <alignment horizontal="center"/>
      <protection locked="0" hidden="1"/>
    </xf>
    <xf numFmtId="165" fontId="38" fillId="6" borderId="0" xfId="0" applyNumberFormat="1" applyFont="1" applyFill="1" applyAlignment="1" applyProtection="1">
      <alignment horizontal="left"/>
      <protection locked="0" hidden="1"/>
    </xf>
    <xf numFmtId="10" fontId="0" fillId="6" borderId="0" xfId="0" applyNumberFormat="1" applyFill="1" applyAlignment="1" applyProtection="1">
      <alignment horizontal="center"/>
      <protection hidden="1"/>
    </xf>
    <xf numFmtId="9" fontId="38" fillId="6" borderId="0" xfId="0" applyNumberFormat="1" applyFont="1" applyFill="1" applyAlignment="1" applyProtection="1">
      <alignment horizontal="left"/>
      <protection locked="0" hidden="1"/>
    </xf>
    <xf numFmtId="10" fontId="38" fillId="6" borderId="0" xfId="0" applyNumberFormat="1" applyFont="1" applyFill="1" applyAlignment="1" applyProtection="1">
      <alignment horizontal="left"/>
      <protection locked="0" hidden="1"/>
    </xf>
    <xf numFmtId="173" fontId="38" fillId="6" borderId="0" xfId="0" applyNumberFormat="1" applyFont="1" applyFill="1" applyAlignment="1" applyProtection="1">
      <alignment horizontal="center"/>
      <protection hidden="1"/>
    </xf>
    <xf numFmtId="174" fontId="38" fillId="6" borderId="0" xfId="0" applyNumberFormat="1" applyFont="1" applyFill="1" applyAlignment="1" applyProtection="1">
      <alignment horizontal="left"/>
      <protection locked="0" hidden="1"/>
    </xf>
    <xf numFmtId="0" fontId="38" fillId="6" borderId="0" xfId="0" applyFont="1" applyFill="1" applyAlignment="1" applyProtection="1">
      <alignment horizontal="center"/>
      <protection hidden="1"/>
    </xf>
    <xf numFmtId="169" fontId="38" fillId="6" borderId="0" xfId="0" applyNumberFormat="1" applyFont="1" applyFill="1" applyProtection="1">
      <protection locked="0" hidden="1"/>
    </xf>
    <xf numFmtId="0" fontId="38" fillId="6" borderId="0" xfId="0" quotePrefix="1" applyFont="1" applyFill="1" applyAlignment="1" applyProtection="1">
      <alignment horizontal="left"/>
      <protection locked="0" hidden="1"/>
    </xf>
    <xf numFmtId="169" fontId="38" fillId="6" borderId="0" xfId="0" applyNumberFormat="1" applyFont="1" applyFill="1" applyBorder="1" applyAlignment="1" applyProtection="1">
      <alignment horizontal="left"/>
      <protection locked="0" hidden="1"/>
    </xf>
    <xf numFmtId="0" fontId="38" fillId="6" borderId="0" xfId="0" applyFont="1" applyFill="1" applyBorder="1" applyProtection="1">
      <protection hidden="1"/>
    </xf>
    <xf numFmtId="0" fontId="52" fillId="6" borderId="0" xfId="0" applyFont="1" applyFill="1" applyProtection="1">
      <protection hidden="1"/>
    </xf>
    <xf numFmtId="2" fontId="52" fillId="6" borderId="0" xfId="0" applyNumberFormat="1" applyFont="1" applyFill="1" applyProtection="1">
      <protection hidden="1"/>
    </xf>
    <xf numFmtId="2" fontId="38" fillId="6" borderId="0" xfId="0" applyNumberFormat="1" applyFont="1" applyFill="1" applyAlignment="1" applyProtection="1">
      <alignment horizontal="left"/>
      <protection locked="0" hidden="1"/>
    </xf>
    <xf numFmtId="175" fontId="38" fillId="6" borderId="0" xfId="0" applyNumberFormat="1" applyFont="1" applyFill="1" applyAlignment="1" applyProtection="1">
      <alignment horizontal="left"/>
      <protection locked="0" hidden="1"/>
    </xf>
    <xf numFmtId="0" fontId="39" fillId="6" borderId="0" xfId="0" quotePrefix="1" applyFont="1" applyFill="1" applyProtection="1">
      <protection hidden="1"/>
    </xf>
    <xf numFmtId="0" fontId="38" fillId="6" borderId="0" xfId="0" applyFont="1" applyFill="1" applyBorder="1" applyAlignment="1" applyProtection="1">
      <alignment horizontal="left"/>
      <protection hidden="1"/>
    </xf>
    <xf numFmtId="2" fontId="25" fillId="6" borderId="0" xfId="0" applyNumberFormat="1" applyFont="1" applyFill="1" applyProtection="1">
      <protection hidden="1"/>
    </xf>
    <xf numFmtId="173" fontId="45" fillId="6" borderId="0" xfId="0" applyNumberFormat="1" applyFont="1" applyFill="1" applyAlignment="1" applyProtection="1">
      <alignment horizontal="left"/>
      <protection locked="0" hidden="1"/>
    </xf>
    <xf numFmtId="169" fontId="38" fillId="6" borderId="0" xfId="0" quotePrefix="1" applyNumberFormat="1" applyFont="1" applyFill="1" applyAlignment="1" applyProtection="1">
      <alignment horizontal="left"/>
      <protection locked="0" hidden="1"/>
    </xf>
    <xf numFmtId="173" fontId="42" fillId="6" borderId="0" xfId="0" applyNumberFormat="1" applyFont="1" applyFill="1" applyAlignment="1" applyProtection="1">
      <alignment horizontal="left"/>
      <protection locked="0" hidden="1"/>
    </xf>
    <xf numFmtId="173" fontId="46" fillId="6" borderId="0" xfId="0" applyNumberFormat="1" applyFont="1" applyFill="1" applyAlignment="1" applyProtection="1">
      <alignment horizontal="left"/>
      <protection locked="0" hidden="1"/>
    </xf>
    <xf numFmtId="0" fontId="38" fillId="6" borderId="0" xfId="0" applyFont="1" applyFill="1" applyBorder="1" applyAlignment="1" applyProtection="1">
      <alignment horizontal="left"/>
      <protection locked="0" hidden="1"/>
    </xf>
    <xf numFmtId="173" fontId="38" fillId="6" borderId="0" xfId="0" applyNumberFormat="1" applyFont="1" applyFill="1" applyProtection="1">
      <protection hidden="1"/>
    </xf>
    <xf numFmtId="176" fontId="38" fillId="6" borderId="0" xfId="0" quotePrefix="1" applyNumberFormat="1" applyFont="1" applyFill="1" applyAlignment="1" applyProtection="1">
      <alignment horizontal="left"/>
      <protection locked="0" hidden="1"/>
    </xf>
    <xf numFmtId="0" fontId="15" fillId="6" borderId="0" xfId="0" applyFont="1" applyFill="1" applyBorder="1" applyAlignment="1" applyProtection="1">
      <alignment horizontal="left"/>
      <protection locked="0" hidden="1"/>
    </xf>
    <xf numFmtId="173" fontId="0" fillId="6" borderId="0" xfId="0" applyNumberFormat="1" applyFill="1" applyProtection="1">
      <protection hidden="1"/>
    </xf>
    <xf numFmtId="0" fontId="41" fillId="6" borderId="0" xfId="0" applyFont="1" applyFill="1" applyAlignment="1" applyProtection="1">
      <alignment horizontal="left"/>
      <protection locked="0" hidden="1"/>
    </xf>
    <xf numFmtId="0" fontId="42" fillId="6" borderId="0" xfId="0" applyFont="1" applyFill="1" applyAlignment="1" applyProtection="1">
      <alignment horizontal="left"/>
      <protection hidden="1"/>
    </xf>
    <xf numFmtId="9" fontId="38" fillId="6" borderId="0" xfId="0" applyNumberFormat="1" applyFont="1" applyFill="1" applyAlignment="1" applyProtection="1">
      <alignment horizontal="left"/>
      <protection hidden="1"/>
    </xf>
    <xf numFmtId="0" fontId="15" fillId="6" borderId="0" xfId="0" applyFont="1" applyFill="1" applyAlignment="1" applyProtection="1">
      <alignment horizontal="center"/>
      <protection locked="0" hidden="1"/>
    </xf>
    <xf numFmtId="0" fontId="38" fillId="6" borderId="0" xfId="0" applyFont="1" applyFill="1" applyAlignment="1" applyProtection="1">
      <alignment horizontal="center"/>
      <protection locked="0" hidden="1"/>
    </xf>
    <xf numFmtId="10" fontId="15" fillId="6" borderId="0" xfId="0" applyNumberFormat="1" applyFont="1" applyFill="1" applyAlignment="1" applyProtection="1">
      <alignment horizontal="center"/>
      <protection locked="0" hidden="1"/>
    </xf>
    <xf numFmtId="2" fontId="0" fillId="6" borderId="0" xfId="0" applyNumberFormat="1" applyFill="1" applyAlignment="1" applyProtection="1">
      <alignment horizontal="center"/>
      <protection hidden="1"/>
    </xf>
    <xf numFmtId="0" fontId="1" fillId="6" borderId="23" xfId="0" applyFont="1" applyFill="1" applyBorder="1" applyAlignment="1" applyProtection="1">
      <alignment horizontal="center"/>
      <protection hidden="1"/>
    </xf>
    <xf numFmtId="0" fontId="1" fillId="6" borderId="24" xfId="0" applyFont="1" applyFill="1" applyBorder="1" applyAlignment="1" applyProtection="1">
      <alignment horizontal="center" vertical="center"/>
      <protection hidden="1"/>
    </xf>
    <xf numFmtId="0" fontId="1" fillId="6" borderId="20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/>
      <protection hidden="1"/>
    </xf>
    <xf numFmtId="0" fontId="1" fillId="6" borderId="26" xfId="0" applyFont="1" applyFill="1" applyBorder="1" applyAlignment="1" applyProtection="1">
      <alignment horizontal="center" vertical="center"/>
      <protection hidden="1"/>
    </xf>
    <xf numFmtId="0" fontId="1" fillId="6" borderId="27" xfId="0" applyFont="1" applyFill="1" applyBorder="1" applyAlignment="1" applyProtection="1">
      <alignment horizontal="center" vertic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10" fontId="38" fillId="6" borderId="0" xfId="0" applyNumberFormat="1" applyFont="1" applyFill="1" applyProtection="1">
      <protection locked="0" hidden="1"/>
    </xf>
    <xf numFmtId="169" fontId="38" fillId="6" borderId="0" xfId="0" applyNumberFormat="1" applyFont="1" applyFill="1" applyAlignment="1" applyProtection="1">
      <alignment horizontal="center"/>
      <protection locked="0" hidden="1"/>
    </xf>
    <xf numFmtId="10" fontId="38" fillId="6" borderId="0" xfId="0" applyNumberFormat="1" applyFont="1" applyFill="1" applyAlignment="1" applyProtection="1">
      <alignment horizontal="center"/>
      <protection locked="0" hidden="1"/>
    </xf>
    <xf numFmtId="0" fontId="13" fillId="6" borderId="0" xfId="0" applyFont="1" applyFill="1" applyAlignment="1" applyProtection="1">
      <alignment horizontal="left"/>
      <protection locked="0" hidden="1"/>
    </xf>
    <xf numFmtId="39" fontId="38" fillId="6" borderId="0" xfId="0" applyNumberFormat="1" applyFont="1" applyFill="1" applyAlignment="1" applyProtection="1">
      <alignment horizontal="left"/>
      <protection locked="0" hidden="1"/>
    </xf>
    <xf numFmtId="0" fontId="0" fillId="6" borderId="0" xfId="0" applyFill="1" applyAlignment="1" applyProtection="1">
      <alignment horizontal="right"/>
      <protection hidden="1"/>
    </xf>
    <xf numFmtId="173" fontId="38" fillId="6" borderId="0" xfId="0" applyNumberFormat="1" applyFont="1" applyFill="1" applyAlignment="1" applyProtection="1">
      <protection locked="0" hidden="1"/>
    </xf>
    <xf numFmtId="9" fontId="38" fillId="6" borderId="0" xfId="0" applyNumberFormat="1" applyFont="1" applyFill="1" applyBorder="1" applyProtection="1">
      <protection locked="0" hidden="1"/>
    </xf>
    <xf numFmtId="0" fontId="38" fillId="6" borderId="0" xfId="0" applyFont="1" applyFill="1" applyBorder="1" applyProtection="1">
      <protection locked="0" hidden="1"/>
    </xf>
    <xf numFmtId="9" fontId="38" fillId="6" borderId="0" xfId="0" applyNumberFormat="1" applyFont="1" applyFill="1" applyBorder="1" applyAlignment="1" applyProtection="1">
      <alignment horizontal="left"/>
      <protection locked="0" hidden="1"/>
    </xf>
    <xf numFmtId="10" fontId="38" fillId="6" borderId="0" xfId="0" applyNumberFormat="1" applyFont="1" applyFill="1" applyBorder="1" applyAlignment="1" applyProtection="1">
      <alignment horizontal="left"/>
      <protection locked="0" hidden="1"/>
    </xf>
    <xf numFmtId="9" fontId="38" fillId="6" borderId="0" xfId="0" applyNumberFormat="1" applyFont="1" applyFill="1" applyProtection="1">
      <protection locked="0" hidden="1"/>
    </xf>
    <xf numFmtId="10" fontId="15" fillId="6" borderId="0" xfId="0" applyNumberFormat="1" applyFont="1" applyFill="1" applyAlignment="1" applyProtection="1">
      <alignment horizontal="left"/>
      <protection locked="0" hidden="1"/>
    </xf>
    <xf numFmtId="173" fontId="38" fillId="6" borderId="0" xfId="0" applyNumberFormat="1" applyFont="1" applyFill="1" applyAlignment="1" applyProtection="1">
      <alignment horizontal="right"/>
      <protection locked="0" hidden="1"/>
    </xf>
    <xf numFmtId="169" fontId="38" fillId="6" borderId="0" xfId="0" applyNumberFormat="1" applyFont="1" applyFill="1" applyBorder="1" applyProtection="1">
      <protection locked="0" hidden="1"/>
    </xf>
    <xf numFmtId="174" fontId="38" fillId="6" borderId="0" xfId="0" applyNumberFormat="1" applyFont="1" applyFill="1" applyBorder="1" applyProtection="1">
      <protection locked="0" hidden="1"/>
    </xf>
    <xf numFmtId="0" fontId="23" fillId="6" borderId="0" xfId="0" applyFont="1" applyFill="1" applyBorder="1" applyAlignment="1" applyProtection="1">
      <alignment horizontal="left"/>
      <protection locked="0" hidden="1"/>
    </xf>
    <xf numFmtId="0" fontId="15" fillId="6" borderId="0" xfId="0" applyFont="1" applyFill="1" applyBorder="1" applyProtection="1">
      <protection locked="0" hidden="1"/>
    </xf>
    <xf numFmtId="0" fontId="39" fillId="6" borderId="0" xfId="0" applyFont="1" applyFill="1" applyBorder="1" applyProtection="1">
      <protection hidden="1"/>
    </xf>
    <xf numFmtId="0" fontId="15" fillId="6" borderId="0" xfId="0" applyFont="1" applyFill="1" applyProtection="1">
      <protection locked="0" hidden="1"/>
    </xf>
    <xf numFmtId="49" fontId="38" fillId="6" borderId="0" xfId="0" applyNumberFormat="1" applyFont="1" applyFill="1" applyAlignment="1" applyProtection="1">
      <alignment horizontal="left"/>
      <protection locked="0" hidden="1"/>
    </xf>
    <xf numFmtId="173" fontId="38" fillId="6" borderId="0" xfId="0" applyNumberFormat="1" applyFont="1" applyFill="1" applyAlignment="1" applyProtection="1">
      <alignment horizontal="center"/>
      <protection locked="0" hidden="1"/>
    </xf>
    <xf numFmtId="49" fontId="0" fillId="6" borderId="0" xfId="0" quotePrefix="1" applyNumberFormat="1" applyFill="1" applyProtection="1">
      <protection hidden="1"/>
    </xf>
    <xf numFmtId="49" fontId="60" fillId="6" borderId="0" xfId="0" applyNumberFormat="1" applyFont="1" applyFill="1" applyProtection="1">
      <protection hidden="1"/>
    </xf>
    <xf numFmtId="0" fontId="60" fillId="0" borderId="0" xfId="0" applyFont="1"/>
    <xf numFmtId="0" fontId="58" fillId="6" borderId="0" xfId="0" applyFont="1" applyFill="1" applyAlignment="1" applyProtection="1">
      <protection locked="0" hidden="1"/>
    </xf>
    <xf numFmtId="0" fontId="58" fillId="6" borderId="0" xfId="0" applyFont="1" applyFill="1" applyAlignment="1" applyProtection="1">
      <protection locked="0"/>
    </xf>
    <xf numFmtId="0" fontId="29" fillId="2" borderId="24" xfId="0" applyFont="1" applyFill="1" applyBorder="1" applyAlignment="1" applyProtection="1">
      <alignment horizontal="right" vertical="center"/>
      <protection hidden="1"/>
    </xf>
    <xf numFmtId="0" fontId="29" fillId="2" borderId="0" xfId="0" applyFont="1" applyFill="1" applyBorder="1" applyAlignment="1" applyProtection="1">
      <alignment horizontal="right" vertical="center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0" fontId="29" fillId="6" borderId="24" xfId="0" applyFont="1" applyFill="1" applyBorder="1" applyAlignment="1" applyProtection="1">
      <alignment horizontal="right" vertical="center"/>
      <protection hidden="1"/>
    </xf>
    <xf numFmtId="0" fontId="29" fillId="6" borderId="0" xfId="0" applyFont="1" applyFill="1" applyBorder="1" applyAlignment="1" applyProtection="1">
      <alignment horizontal="right" vertical="center"/>
      <protection hidden="1"/>
    </xf>
    <xf numFmtId="0" fontId="29" fillId="2" borderId="34" xfId="0" applyFont="1" applyFill="1" applyBorder="1" applyAlignment="1" applyProtection="1">
      <alignment horizontal="center" vertical="center"/>
      <protection hidden="1"/>
    </xf>
    <xf numFmtId="0" fontId="29" fillId="2" borderId="29" xfId="0" applyFont="1" applyFill="1" applyBorder="1" applyAlignment="1" applyProtection="1">
      <alignment horizontal="center" vertical="center"/>
      <protection hidden="1"/>
    </xf>
    <xf numFmtId="0" fontId="29" fillId="6" borderId="34" xfId="0" applyFont="1" applyFill="1" applyBorder="1" applyAlignment="1" applyProtection="1">
      <alignment horizontal="center" vertical="center"/>
      <protection hidden="1"/>
    </xf>
    <xf numFmtId="0" fontId="29" fillId="6" borderId="29" xfId="0" applyFont="1" applyFill="1" applyBorder="1" applyAlignment="1" applyProtection="1">
      <alignment horizontal="center" vertical="center"/>
      <protection hidden="1"/>
    </xf>
    <xf numFmtId="49" fontId="11" fillId="6" borderId="0" xfId="0" applyNumberFormat="1" applyFont="1" applyFill="1" applyAlignment="1" applyProtection="1">
      <alignment horizontal="center"/>
      <protection hidden="1"/>
    </xf>
    <xf numFmtId="0" fontId="53" fillId="6" borderId="0" xfId="0" applyFont="1" applyFill="1" applyAlignment="1" applyProtection="1">
      <alignment horizontal="right"/>
      <protection hidden="1"/>
    </xf>
    <xf numFmtId="0" fontId="57" fillId="2" borderId="0" xfId="0" applyFont="1" applyFill="1" applyAlignment="1" applyProtection="1">
      <alignment horizontal="center" vertical="top"/>
      <protection hidden="1"/>
    </xf>
    <xf numFmtId="0" fontId="29" fillId="6" borderId="0" xfId="0" applyFont="1" applyFill="1" applyBorder="1" applyAlignment="1" applyProtection="1">
      <alignment horizontal="right"/>
      <protection hidden="1"/>
    </xf>
    <xf numFmtId="0" fontId="11" fillId="9" borderId="0" xfId="0" applyFont="1" applyFill="1" applyAlignment="1" applyProtection="1">
      <alignment horizontal="left"/>
      <protection locked="0" hidden="1"/>
    </xf>
    <xf numFmtId="177" fontId="0" fillId="9" borderId="0" xfId="0" applyNumberFormat="1" applyFill="1" applyAlignment="1" applyProtection="1">
      <alignment horizontal="left"/>
      <protection locked="0" hidden="1"/>
    </xf>
    <xf numFmtId="0" fontId="14" fillId="9" borderId="0" xfId="0" applyFont="1" applyFill="1" applyAlignment="1" applyProtection="1">
      <alignment horizontal="left"/>
      <protection locked="0" hidden="1"/>
    </xf>
    <xf numFmtId="0" fontId="36" fillId="9" borderId="0" xfId="0" applyFont="1" applyFill="1" applyBorder="1" applyAlignment="1" applyProtection="1">
      <alignment horizontal="left"/>
      <protection locked="0" hidden="1"/>
    </xf>
    <xf numFmtId="11" fontId="35" fillId="9" borderId="0" xfId="0" applyNumberFormat="1" applyFont="1" applyFill="1" applyAlignment="1" applyProtection="1">
      <alignment horizontal="left" vertical="center"/>
      <protection locked="0" hidden="1"/>
    </xf>
    <xf numFmtId="177" fontId="11" fillId="9" borderId="0" xfId="0" applyNumberFormat="1" applyFont="1" applyFill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29" fillId="6" borderId="0" xfId="0" applyFont="1" applyFill="1" applyAlignment="1" applyProtection="1">
      <alignment horizontal="center"/>
      <protection hidden="1"/>
    </xf>
    <xf numFmtId="4" fontId="34" fillId="2" borderId="0" xfId="0" applyNumberFormat="1" applyFont="1" applyFill="1" applyAlignment="1" applyProtection="1">
      <alignment horizontal="center"/>
      <protection hidden="1"/>
    </xf>
    <xf numFmtId="172" fontId="29" fillId="3" borderId="7" xfId="0" applyNumberFormat="1" applyFont="1" applyFill="1" applyBorder="1" applyAlignment="1" applyProtection="1">
      <alignment horizontal="center"/>
      <protection locked="0" hidden="1"/>
    </xf>
    <xf numFmtId="172" fontId="29" fillId="3" borderId="5" xfId="0" applyNumberFormat="1" applyFont="1" applyFill="1" applyBorder="1" applyAlignment="1" applyProtection="1">
      <alignment horizontal="center"/>
      <protection locked="0" hidden="1"/>
    </xf>
    <xf numFmtId="11" fontId="10" fillId="6" borderId="0" xfId="0" applyNumberFormat="1" applyFont="1" applyFill="1" applyAlignment="1" applyProtection="1">
      <alignment horizontal="right" vertical="center"/>
      <protection locked="0" hidden="1"/>
    </xf>
    <xf numFmtId="11" fontId="1" fillId="6" borderId="0" xfId="0" applyNumberFormat="1" applyFont="1" applyFill="1" applyAlignment="1" applyProtection="1">
      <alignment horizontal="left"/>
      <protection locked="0" hidden="1"/>
    </xf>
    <xf numFmtId="168" fontId="1" fillId="2" borderId="7" xfId="0" applyNumberFormat="1" applyFont="1" applyFill="1" applyBorder="1" applyAlignment="1" applyProtection="1">
      <alignment horizontal="center" vertical="center"/>
      <protection hidden="1"/>
    </xf>
    <xf numFmtId="168" fontId="1" fillId="2" borderId="3" xfId="0" applyNumberFormat="1" applyFont="1" applyFill="1" applyBorder="1" applyAlignment="1" applyProtection="1">
      <alignment horizontal="center" vertical="center"/>
      <protection hidden="1"/>
    </xf>
    <xf numFmtId="168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4" fillId="9" borderId="26" xfId="0" applyFont="1" applyFill="1" applyBorder="1" applyAlignment="1" applyProtection="1">
      <alignment horizontal="left" vertical="center"/>
      <protection locked="0" hidden="1"/>
    </xf>
    <xf numFmtId="0" fontId="0" fillId="0" borderId="27" xfId="0" applyBorder="1" applyAlignment="1" applyProtection="1">
      <alignment horizontal="left" vertical="center"/>
      <protection locked="0" hidden="1"/>
    </xf>
    <xf numFmtId="49" fontId="5" fillId="2" borderId="7" xfId="0" applyNumberFormat="1" applyFont="1" applyFill="1" applyBorder="1" applyAlignment="1" applyProtection="1">
      <alignment horizontal="center"/>
      <protection hidden="1"/>
    </xf>
    <xf numFmtId="49" fontId="5" fillId="2" borderId="3" xfId="0" applyNumberFormat="1" applyFont="1" applyFill="1" applyBorder="1" applyAlignment="1" applyProtection="1">
      <alignment horizontal="center"/>
      <protection hidden="1"/>
    </xf>
    <xf numFmtId="49" fontId="5" fillId="2" borderId="5" xfId="0" applyNumberFormat="1" applyFont="1" applyFill="1" applyBorder="1" applyAlignment="1" applyProtection="1">
      <alignment horizontal="center"/>
      <protection hidden="1"/>
    </xf>
    <xf numFmtId="0" fontId="1" fillId="6" borderId="31" xfId="0" applyFont="1" applyFill="1" applyBorder="1" applyAlignment="1" applyProtection="1">
      <alignment horizontal="center" vertical="center" wrapText="1"/>
      <protection hidden="1"/>
    </xf>
    <xf numFmtId="0" fontId="1" fillId="6" borderId="14" xfId="0" applyFont="1" applyFill="1" applyBorder="1" applyAlignment="1" applyProtection="1">
      <alignment horizontal="center" vertical="center" wrapText="1"/>
      <protection hidden="1"/>
    </xf>
    <xf numFmtId="0" fontId="1" fillId="6" borderId="21" xfId="0" applyFont="1" applyFill="1" applyBorder="1" applyAlignment="1" applyProtection="1">
      <alignment horizontal="center" vertical="center" wrapText="1"/>
      <protection hidden="1"/>
    </xf>
    <xf numFmtId="0" fontId="1" fillId="6" borderId="16" xfId="0" applyFont="1" applyFill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1" fillId="6" borderId="15" xfId="0" applyFont="1" applyFill="1" applyBorder="1" applyAlignment="1" applyProtection="1">
      <alignment horizontal="center" vertical="center" wrapText="1"/>
      <protection hidden="1"/>
    </xf>
    <xf numFmtId="44" fontId="47" fillId="6" borderId="7" xfId="0" applyNumberFormat="1" applyFont="1" applyFill="1" applyBorder="1" applyAlignment="1" applyProtection="1">
      <alignment horizontal="center"/>
      <protection hidden="1"/>
    </xf>
    <xf numFmtId="44" fontId="47" fillId="6" borderId="5" xfId="0" applyNumberFormat="1" applyFont="1" applyFill="1" applyBorder="1" applyAlignment="1" applyProtection="1">
      <alignment horizontal="center"/>
      <protection hidden="1"/>
    </xf>
    <xf numFmtId="167" fontId="29" fillId="2" borderId="7" xfId="0" applyNumberFormat="1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67" fontId="19" fillId="2" borderId="22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29" fillId="2" borderId="31" xfId="0" applyFont="1" applyFill="1" applyBorder="1" applyAlignment="1" applyProtection="1">
      <alignment horizontal="center" vertical="center" wrapText="1"/>
      <protection hidden="1"/>
    </xf>
    <xf numFmtId="0" fontId="29" fillId="2" borderId="21" xfId="0" applyFont="1" applyFill="1" applyBorder="1" applyAlignment="1" applyProtection="1">
      <alignment horizontal="center" vertical="center" wrapText="1"/>
      <protection hidden="1"/>
    </xf>
    <xf numFmtId="0" fontId="29" fillId="2" borderId="16" xfId="0" applyFont="1" applyFill="1" applyBorder="1" applyAlignment="1" applyProtection="1">
      <alignment horizontal="center" vertical="center" wrapText="1"/>
      <protection hidden="1"/>
    </xf>
    <xf numFmtId="0" fontId="29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168" fontId="4" fillId="2" borderId="32" xfId="0" applyNumberFormat="1" applyFont="1" applyFill="1" applyBorder="1" applyAlignment="1" applyProtection="1">
      <alignment horizontal="center"/>
      <protection hidden="1"/>
    </xf>
    <xf numFmtId="168" fontId="4" fillId="2" borderId="3" xfId="0" applyNumberFormat="1" applyFont="1" applyFill="1" applyBorder="1" applyAlignment="1" applyProtection="1">
      <alignment horizontal="center"/>
      <protection hidden="1"/>
    </xf>
    <xf numFmtId="168" fontId="4" fillId="2" borderId="5" xfId="0" applyNumberFormat="1" applyFont="1" applyFill="1" applyBorder="1" applyAlignment="1" applyProtection="1">
      <alignment horizontal="center"/>
      <protection hidden="1"/>
    </xf>
    <xf numFmtId="0" fontId="29" fillId="6" borderId="31" xfId="0" applyFont="1" applyFill="1" applyBorder="1" applyAlignment="1" applyProtection="1">
      <alignment horizontal="center" vertical="center"/>
      <protection hidden="1"/>
    </xf>
    <xf numFmtId="0" fontId="29" fillId="6" borderId="14" xfId="0" applyFont="1" applyFill="1" applyBorder="1" applyAlignment="1" applyProtection="1">
      <alignment horizontal="center" vertical="center"/>
      <protection hidden="1"/>
    </xf>
    <xf numFmtId="0" fontId="29" fillId="6" borderId="21" xfId="0" applyFont="1" applyFill="1" applyBorder="1" applyAlignment="1" applyProtection="1">
      <alignment horizontal="center" vertical="center"/>
      <protection hidden="1"/>
    </xf>
    <xf numFmtId="0" fontId="29" fillId="6" borderId="16" xfId="0" applyFont="1" applyFill="1" applyBorder="1" applyAlignment="1" applyProtection="1">
      <alignment horizontal="center" vertical="center"/>
      <protection hidden="1"/>
    </xf>
    <xf numFmtId="0" fontId="29" fillId="6" borderId="2" xfId="0" applyFont="1" applyFill="1" applyBorder="1" applyAlignment="1" applyProtection="1">
      <alignment horizontal="center" vertical="center"/>
      <protection hidden="1"/>
    </xf>
    <xf numFmtId="0" fontId="29" fillId="6" borderId="15" xfId="0" applyFont="1" applyFill="1" applyBorder="1" applyAlignment="1" applyProtection="1">
      <alignment horizontal="center" vertical="center"/>
      <protection hidden="1"/>
    </xf>
    <xf numFmtId="0" fontId="36" fillId="9" borderId="19" xfId="0" applyFont="1" applyFill="1" applyBorder="1" applyAlignment="1" applyProtection="1">
      <alignment horizontal="left"/>
      <protection locked="0" hidden="1"/>
    </xf>
    <xf numFmtId="0" fontId="36" fillId="9" borderId="27" xfId="0" applyFont="1" applyFill="1" applyBorder="1" applyAlignment="1" applyProtection="1">
      <alignment horizontal="left"/>
      <protection locked="0" hidden="1"/>
    </xf>
    <xf numFmtId="0" fontId="22" fillId="2" borderId="30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29" fillId="2" borderId="7" xfId="0" applyFont="1" applyFill="1" applyBorder="1" applyAlignment="1" applyProtection="1">
      <alignment horizontal="center"/>
      <protection hidden="1"/>
    </xf>
    <xf numFmtId="0" fontId="29" fillId="2" borderId="5" xfId="0" applyFont="1" applyFill="1" applyBorder="1" applyAlignment="1" applyProtection="1">
      <alignment horizontal="center"/>
      <protection hidden="1"/>
    </xf>
    <xf numFmtId="172" fontId="29" fillId="3" borderId="8" xfId="0" applyNumberFormat="1" applyFont="1" applyFill="1" applyBorder="1" applyAlignment="1" applyProtection="1">
      <alignment horizontal="center"/>
      <protection locked="0" hidden="1"/>
    </xf>
    <xf numFmtId="172" fontId="29" fillId="3" borderId="18" xfId="0" applyNumberFormat="1" applyFont="1" applyFill="1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44" fontId="4" fillId="2" borderId="7" xfId="0" applyNumberFormat="1" applyFont="1" applyFill="1" applyBorder="1" applyAlignment="1" applyProtection="1">
      <alignment horizontal="center"/>
      <protection hidden="1"/>
    </xf>
    <xf numFmtId="44" fontId="4" fillId="2" borderId="5" xfId="0" applyNumberFormat="1" applyFont="1" applyFill="1" applyBorder="1" applyAlignment="1" applyProtection="1">
      <alignment horizontal="center"/>
      <protection hidden="1"/>
    </xf>
    <xf numFmtId="0" fontId="53" fillId="6" borderId="0" xfId="0" applyFont="1" applyFill="1" applyAlignment="1" applyProtection="1">
      <protection hidden="1"/>
    </xf>
    <xf numFmtId="4" fontId="59" fillId="2" borderId="0" xfId="0" applyNumberFormat="1" applyFont="1" applyFill="1" applyAlignment="1" applyProtection="1">
      <alignment horizontal="center"/>
      <protection hidden="1"/>
    </xf>
    <xf numFmtId="0" fontId="34" fillId="2" borderId="19" xfId="0" applyFont="1" applyFill="1" applyBorder="1" applyAlignment="1" applyProtection="1">
      <alignment horizontal="center"/>
      <protection hidden="1"/>
    </xf>
    <xf numFmtId="169" fontId="55" fillId="2" borderId="0" xfId="0" applyNumberFormat="1" applyFont="1" applyFill="1" applyBorder="1" applyAlignment="1" applyProtection="1">
      <alignment horizontal="center"/>
      <protection hidden="1"/>
    </xf>
    <xf numFmtId="0" fontId="53" fillId="6" borderId="0" xfId="0" applyFont="1" applyFill="1" applyAlignment="1" applyProtection="1">
      <alignment horizontal="center"/>
      <protection hidden="1"/>
    </xf>
    <xf numFmtId="0" fontId="0" fillId="6" borderId="22" xfId="0" applyFill="1" applyBorder="1" applyAlignment="1" applyProtection="1">
      <alignment horizontal="center"/>
      <protection hidden="1"/>
    </xf>
    <xf numFmtId="167" fontId="48" fillId="2" borderId="8" xfId="0" applyNumberFormat="1" applyFont="1" applyFill="1" applyBorder="1" applyAlignment="1" applyProtection="1">
      <alignment horizontal="center"/>
      <protection hidden="1"/>
    </xf>
    <xf numFmtId="167" fontId="48" fillId="2" borderId="18" xfId="0" applyNumberFormat="1" applyFont="1" applyFill="1" applyBorder="1" applyAlignment="1" applyProtection="1">
      <alignment horizontal="center"/>
      <protection hidden="1"/>
    </xf>
    <xf numFmtId="0" fontId="36" fillId="3" borderId="8" xfId="0" applyFont="1" applyFill="1" applyBorder="1" applyAlignment="1" applyProtection="1">
      <alignment horizontal="left"/>
      <protection locked="0" hidden="1"/>
    </xf>
    <xf numFmtId="0" fontId="36" fillId="3" borderId="18" xfId="0" applyFont="1" applyFill="1" applyBorder="1" applyAlignment="1" applyProtection="1">
      <alignment horizontal="left"/>
      <protection locked="0" hidden="1"/>
    </xf>
    <xf numFmtId="0" fontId="15" fillId="2" borderId="7" xfId="0" applyFont="1" applyFill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center"/>
      <protection hidden="1"/>
    </xf>
    <xf numFmtId="167" fontId="27" fillId="2" borderId="7" xfId="0" applyNumberFormat="1" applyFont="1" applyFill="1" applyBorder="1" applyAlignment="1" applyProtection="1">
      <alignment horizontal="center"/>
      <protection hidden="1"/>
    </xf>
    <xf numFmtId="167" fontId="27" fillId="2" borderId="3" xfId="0" applyNumberFormat="1" applyFont="1" applyFill="1" applyBorder="1" applyAlignment="1" applyProtection="1">
      <alignment horizontal="center"/>
      <protection hidden="1"/>
    </xf>
    <xf numFmtId="167" fontId="27" fillId="2" borderId="5" xfId="0" applyNumberFormat="1" applyFont="1" applyFill="1" applyBorder="1" applyAlignment="1" applyProtection="1">
      <alignment horizontal="center"/>
      <protection hidden="1"/>
    </xf>
    <xf numFmtId="167" fontId="48" fillId="2" borderId="7" xfId="0" applyNumberFormat="1" applyFont="1" applyFill="1" applyBorder="1" applyAlignment="1" applyProtection="1">
      <alignment horizontal="center"/>
      <protection hidden="1"/>
    </xf>
    <xf numFmtId="167" fontId="48" fillId="2" borderId="5" xfId="0" applyNumberFormat="1" applyFont="1" applyFill="1" applyBorder="1" applyAlignment="1" applyProtection="1">
      <alignment horizontal="center"/>
      <protection hidden="1"/>
    </xf>
    <xf numFmtId="0" fontId="6" fillId="6" borderId="26" xfId="0" applyFont="1" applyFill="1" applyBorder="1" applyAlignment="1" applyProtection="1">
      <alignment horizontal="center"/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9" fillId="9" borderId="7" xfId="0" applyFont="1" applyFill="1" applyBorder="1" applyAlignment="1" applyProtection="1">
      <alignment horizontal="left"/>
      <protection locked="0" hidden="1"/>
    </xf>
    <xf numFmtId="0" fontId="9" fillId="9" borderId="5" xfId="0" applyFont="1" applyFill="1" applyBorder="1" applyAlignment="1" applyProtection="1">
      <alignment horizontal="left"/>
      <protection locked="0" hidden="1"/>
    </xf>
    <xf numFmtId="0" fontId="36" fillId="3" borderId="7" xfId="0" applyFont="1" applyFill="1" applyBorder="1" applyAlignment="1" applyProtection="1">
      <alignment horizontal="left"/>
      <protection locked="0" hidden="1"/>
    </xf>
    <xf numFmtId="0" fontId="36" fillId="3" borderId="5" xfId="0" applyFont="1" applyFill="1" applyBorder="1" applyAlignment="1" applyProtection="1">
      <alignment horizontal="left"/>
      <protection locked="0" hidden="1"/>
    </xf>
    <xf numFmtId="0" fontId="29" fillId="6" borderId="7" xfId="0" applyFont="1" applyFill="1" applyBorder="1" applyAlignment="1" applyProtection="1">
      <alignment horizontal="center"/>
      <protection hidden="1"/>
    </xf>
    <xf numFmtId="0" fontId="29" fillId="6" borderId="5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locked="0" hidden="1"/>
    </xf>
    <xf numFmtId="0" fontId="49" fillId="6" borderId="0" xfId="0" applyFont="1" applyFill="1" applyAlignment="1" applyProtection="1">
      <alignment horizontal="center"/>
      <protection hidden="1"/>
    </xf>
    <xf numFmtId="0" fontId="49" fillId="6" borderId="9" xfId="0" applyFont="1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hidden="1"/>
    </xf>
    <xf numFmtId="0" fontId="29" fillId="2" borderId="31" xfId="0" applyFont="1" applyFill="1" applyBorder="1" applyAlignment="1" applyProtection="1">
      <alignment horizontal="center" vertical="center"/>
      <protection hidden="1"/>
    </xf>
    <xf numFmtId="0" fontId="29" fillId="2" borderId="14" xfId="0" applyFont="1" applyFill="1" applyBorder="1" applyAlignment="1" applyProtection="1">
      <alignment horizontal="center" vertical="center"/>
      <protection hidden="1"/>
    </xf>
    <xf numFmtId="0" fontId="29" fillId="2" borderId="21" xfId="0" applyFont="1" applyFill="1" applyBorder="1" applyAlignment="1" applyProtection="1">
      <alignment horizontal="center" vertical="center"/>
      <protection hidden="1"/>
    </xf>
    <xf numFmtId="0" fontId="29" fillId="2" borderId="16" xfId="0" applyFont="1" applyFill="1" applyBorder="1" applyAlignment="1" applyProtection="1">
      <alignment horizontal="center" vertical="center"/>
      <protection hidden="1"/>
    </xf>
    <xf numFmtId="0" fontId="29" fillId="2" borderId="2" xfId="0" applyFont="1" applyFill="1" applyBorder="1" applyAlignment="1" applyProtection="1">
      <alignment horizontal="center" vertical="center"/>
      <protection hidden="1"/>
    </xf>
    <xf numFmtId="0" fontId="29" fillId="2" borderId="15" xfId="0" applyFont="1" applyFill="1" applyBorder="1" applyAlignment="1" applyProtection="1">
      <alignment horizontal="center" vertical="center"/>
      <protection hidden="1"/>
    </xf>
    <xf numFmtId="0" fontId="36" fillId="3" borderId="8" xfId="0" applyFont="1" applyFill="1" applyBorder="1" applyAlignment="1" applyProtection="1">
      <protection locked="0" hidden="1"/>
    </xf>
    <xf numFmtId="0" fontId="36" fillId="3" borderId="18" xfId="0" applyFont="1" applyFill="1" applyBorder="1" applyAlignment="1" applyProtection="1">
      <protection locked="0" hidden="1"/>
    </xf>
    <xf numFmtId="0" fontId="36" fillId="9" borderId="0" xfId="0" applyFont="1" applyFill="1" applyAlignment="1" applyProtection="1">
      <alignment horizontal="left"/>
      <protection locked="0" hidden="1"/>
    </xf>
    <xf numFmtId="0" fontId="36" fillId="9" borderId="20" xfId="0" applyFont="1" applyFill="1" applyBorder="1" applyAlignment="1" applyProtection="1">
      <alignment horizontal="left"/>
      <protection locked="0" hidden="1"/>
    </xf>
    <xf numFmtId="49" fontId="9" fillId="6" borderId="0" xfId="0" applyNumberFormat="1" applyFont="1" applyFill="1" applyBorder="1" applyAlignment="1" applyProtection="1">
      <alignment horizontal="right"/>
      <protection hidden="1"/>
    </xf>
    <xf numFmtId="0" fontId="29" fillId="6" borderId="0" xfId="0" applyFont="1" applyFill="1" applyAlignment="1" applyProtection="1">
      <alignment horizontal="center" vertical="center"/>
      <protection hidden="1"/>
    </xf>
    <xf numFmtId="0" fontId="36" fillId="9" borderId="0" xfId="0" applyFont="1" applyFill="1" applyBorder="1" applyAlignment="1" applyProtection="1">
      <alignment horizontal="left" vertical="center"/>
      <protection locked="0" hidden="1"/>
    </xf>
    <xf numFmtId="0" fontId="36" fillId="9" borderId="20" xfId="0" applyFont="1" applyFill="1" applyBorder="1" applyAlignment="1" applyProtection="1">
      <alignment horizontal="left" vertical="center"/>
      <protection locked="0" hidden="1"/>
    </xf>
    <xf numFmtId="0" fontId="32" fillId="2" borderId="0" xfId="0" applyFont="1" applyFill="1" applyBorder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/>
      <protection locked="0" hidden="1"/>
    </xf>
    <xf numFmtId="0" fontId="0" fillId="9" borderId="20" xfId="0" applyFill="1" applyBorder="1" applyAlignment="1" applyProtection="1">
      <alignment horizontal="left"/>
      <protection locked="0" hidden="1"/>
    </xf>
    <xf numFmtId="0" fontId="0" fillId="9" borderId="22" xfId="0" applyFill="1" applyBorder="1" applyAlignment="1" applyProtection="1">
      <alignment horizontal="left"/>
      <protection locked="0" hidden="1"/>
    </xf>
    <xf numFmtId="0" fontId="0" fillId="9" borderId="29" xfId="0" applyFill="1" applyBorder="1" applyAlignment="1" applyProtection="1">
      <alignment horizontal="left"/>
      <protection locked="0" hidden="1"/>
    </xf>
    <xf numFmtId="0" fontId="4" fillId="6" borderId="0" xfId="0" applyFont="1" applyFill="1" applyAlignment="1" applyProtection="1">
      <protection hidden="1"/>
    </xf>
    <xf numFmtId="0" fontId="0" fillId="6" borderId="20" xfId="0" applyFill="1" applyBorder="1" applyAlignment="1" applyProtection="1">
      <protection hidden="1"/>
    </xf>
    <xf numFmtId="0" fontId="34" fillId="2" borderId="0" xfId="0" applyFont="1" applyFill="1" applyBorder="1" applyAlignment="1" applyProtection="1">
      <alignment horizontal="right" vertical="center" wrapText="1"/>
      <protection hidden="1"/>
    </xf>
    <xf numFmtId="0" fontId="11" fillId="0" borderId="20" xfId="0" applyFont="1" applyBorder="1" applyAlignment="1" applyProtection="1">
      <alignment horizontal="left"/>
      <protection hidden="1"/>
    </xf>
    <xf numFmtId="177" fontId="11" fillId="9" borderId="0" xfId="0" applyNumberFormat="1" applyFont="1" applyFill="1" applyAlignment="1" applyProtection="1">
      <alignment horizontal="left"/>
      <protection locked="0" hidden="1"/>
    </xf>
    <xf numFmtId="177" fontId="11" fillId="9" borderId="20" xfId="0" applyNumberFormat="1" applyFont="1" applyFill="1" applyBorder="1" applyAlignment="1" applyProtection="1">
      <alignment horizontal="left"/>
      <protection locked="0" hidden="1"/>
    </xf>
    <xf numFmtId="0" fontId="3" fillId="6" borderId="30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left"/>
      <protection locked="0" hidden="1"/>
    </xf>
    <xf numFmtId="0" fontId="29" fillId="6" borderId="24" xfId="0" applyFont="1" applyFill="1" applyBorder="1" applyAlignment="1" applyProtection="1">
      <alignment horizontal="right"/>
      <protection hidden="1"/>
    </xf>
    <xf numFmtId="0" fontId="29" fillId="6" borderId="0" xfId="0" applyFont="1" applyFill="1" applyAlignment="1" applyProtection="1">
      <alignment horizontal="right"/>
      <protection hidden="1"/>
    </xf>
    <xf numFmtId="0" fontId="29" fillId="6" borderId="24" xfId="0" applyFont="1" applyFill="1" applyBorder="1" applyAlignment="1" applyProtection="1">
      <alignment horizontal="right" wrapText="1"/>
      <protection hidden="1"/>
    </xf>
    <xf numFmtId="0" fontId="29" fillId="6" borderId="0" xfId="0" applyFont="1" applyFill="1" applyBorder="1" applyAlignment="1" applyProtection="1">
      <alignment horizontal="right" wrapText="1"/>
      <protection hidden="1"/>
    </xf>
    <xf numFmtId="49" fontId="0" fillId="6" borderId="0" xfId="0" applyNumberFormat="1" applyFill="1" applyBorder="1" applyAlignment="1" applyProtection="1">
      <alignment horizontal="center"/>
      <protection hidden="1"/>
    </xf>
    <xf numFmtId="0" fontId="29" fillId="6" borderId="33" xfId="0" applyFont="1" applyFill="1" applyBorder="1" applyAlignment="1" applyProtection="1">
      <alignment horizontal="right"/>
      <protection hidden="1"/>
    </xf>
    <xf numFmtId="0" fontId="0" fillId="6" borderId="0" xfId="0" applyFill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center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5" fillId="6" borderId="0" xfId="0" applyFont="1" applyFill="1" applyAlignment="1" applyProtection="1">
      <alignment horizontal="right"/>
      <protection locked="0" hidden="1"/>
    </xf>
    <xf numFmtId="0" fontId="1" fillId="6" borderId="0" xfId="0" applyFont="1" applyFill="1" applyAlignment="1" applyProtection="1">
      <alignment horizontal="right"/>
      <protection hidden="1"/>
    </xf>
    <xf numFmtId="0" fontId="21" fillId="6" borderId="34" xfId="0" applyFont="1" applyFill="1" applyBorder="1" applyAlignment="1" applyProtection="1">
      <alignment horizontal="center" vertical="center"/>
      <protection hidden="1"/>
    </xf>
    <xf numFmtId="0" fontId="21" fillId="6" borderId="22" xfId="0" applyFont="1" applyFill="1" applyBorder="1" applyAlignment="1" applyProtection="1">
      <alignment horizontal="center" vertical="center"/>
      <protection hidden="1"/>
    </xf>
    <xf numFmtId="0" fontId="21" fillId="6" borderId="29" xfId="0" applyFont="1" applyFill="1" applyBorder="1" applyAlignment="1" applyProtection="1">
      <alignment horizontal="center" vertical="center"/>
      <protection hidden="1"/>
    </xf>
    <xf numFmtId="0" fontId="21" fillId="6" borderId="24" xfId="0" applyFont="1" applyFill="1" applyBorder="1" applyAlignment="1" applyProtection="1">
      <alignment horizontal="center" vertical="center"/>
      <protection hidden="1"/>
    </xf>
    <xf numFmtId="0" fontId="21" fillId="6" borderId="0" xfId="0" applyFont="1" applyFill="1" applyBorder="1" applyAlignment="1" applyProtection="1">
      <alignment horizontal="center" vertical="center"/>
      <protection hidden="1"/>
    </xf>
    <xf numFmtId="0" fontId="21" fillId="6" borderId="20" xfId="0" applyFont="1" applyFill="1" applyBorder="1" applyAlignment="1" applyProtection="1">
      <alignment horizontal="center" vertical="center"/>
      <protection hidden="1"/>
    </xf>
    <xf numFmtId="0" fontId="21" fillId="6" borderId="26" xfId="0" applyFont="1" applyFill="1" applyBorder="1" applyAlignment="1" applyProtection="1">
      <alignment horizontal="center" vertical="center"/>
      <protection hidden="1"/>
    </xf>
    <xf numFmtId="0" fontId="21" fillId="6" borderId="19" xfId="0" applyFont="1" applyFill="1" applyBorder="1" applyAlignment="1" applyProtection="1">
      <alignment horizontal="center" vertical="center"/>
      <protection hidden="1"/>
    </xf>
    <xf numFmtId="0" fontId="21" fillId="6" borderId="27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Drop" dropStyle="combo" dx="25" fmlaLink="$B$7" fmlaRange="'Gemeenten met categorie'!$B$3:$B$493" noThreeD="1" sel="255" val="253"/>
</file>

<file path=xl/ctrlProps/ctrlProp6.xml><?xml version="1.0" encoding="utf-8"?>
<formControlPr xmlns="http://schemas.microsoft.com/office/spreadsheetml/2009/9/main" objectType="Drop" dropLines="4" dropStyle="combo" dx="25" fmlaLink="$B$9" fmlaRange="'Gemeenten met categorie'!$B$499:$B$502" noThreeD="1" sel="2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16</xdr:row>
      <xdr:rowOff>76200</xdr:rowOff>
    </xdr:from>
    <xdr:to>
      <xdr:col>0</xdr:col>
      <xdr:colOff>556260</xdr:colOff>
      <xdr:row>17</xdr:row>
      <xdr:rowOff>7620</xdr:rowOff>
    </xdr:to>
    <xdr:sp macro="" textlink="">
      <xdr:nvSpPr>
        <xdr:cNvPr id="1072" name="AutoShape 26"/>
        <xdr:cNvSpPr>
          <a:spLocks noChangeArrowheads="1"/>
        </xdr:cNvSpPr>
      </xdr:nvSpPr>
      <xdr:spPr bwMode="auto">
        <a:xfrm>
          <a:off x="167640" y="3314700"/>
          <a:ext cx="388620" cy="12192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175260</xdr:colOff>
      <xdr:row>17</xdr:row>
      <xdr:rowOff>60960</xdr:rowOff>
    </xdr:from>
    <xdr:to>
      <xdr:col>0</xdr:col>
      <xdr:colOff>556260</xdr:colOff>
      <xdr:row>17</xdr:row>
      <xdr:rowOff>205740</xdr:rowOff>
    </xdr:to>
    <xdr:sp macro="" textlink="">
      <xdr:nvSpPr>
        <xdr:cNvPr id="1073" name="AutoShape 27"/>
        <xdr:cNvSpPr>
          <a:spLocks noChangeArrowheads="1"/>
        </xdr:cNvSpPr>
      </xdr:nvSpPr>
      <xdr:spPr bwMode="auto">
        <a:xfrm>
          <a:off x="175260" y="3489960"/>
          <a:ext cx="381000" cy="129540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6</xdr:row>
          <xdr:rowOff>142875</xdr:rowOff>
        </xdr:from>
        <xdr:to>
          <xdr:col>10</xdr:col>
          <xdr:colOff>0</xdr:colOff>
          <xdr:row>7</xdr:row>
          <xdr:rowOff>200025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</xdr:row>
          <xdr:rowOff>0</xdr:rowOff>
        </xdr:from>
        <xdr:to>
          <xdr:col>12</xdr:col>
          <xdr:colOff>400050</xdr:colOff>
          <xdr:row>7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invoerscherm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161925</xdr:rowOff>
        </xdr:from>
        <xdr:to>
          <xdr:col>15</xdr:col>
          <xdr:colOff>0</xdr:colOff>
          <xdr:row>8</xdr:row>
          <xdr:rowOff>28575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Naar specificatie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657225</xdr:colOff>
          <xdr:row>46</xdr:row>
          <xdr:rowOff>114300</xdr:rowOff>
        </xdr:from>
        <xdr:to>
          <xdr:col>15</xdr:col>
          <xdr:colOff>95250</xdr:colOff>
          <xdr:row>77</xdr:row>
          <xdr:rowOff>28575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vert="wordArtVert" wrap="square" lIns="27432" tIns="0" rIns="27432" bIns="0" anchor="ctr" upright="1"/>
            <a:lstStyle/>
            <a:p>
              <a:pPr algn="ctr" rtl="0">
                <a:defRPr sz="1000"/>
              </a:pPr>
              <a:r>
                <a:rPr lang="nl-NL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Up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190500</xdr:rowOff>
        </xdr:from>
        <xdr:to>
          <xdr:col>3</xdr:col>
          <xdr:colOff>590550</xdr:colOff>
          <xdr:row>6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171450</xdr:rowOff>
        </xdr:from>
        <xdr:to>
          <xdr:col>8</xdr:col>
          <xdr:colOff>28575</xdr:colOff>
          <xdr:row>7</xdr:row>
          <xdr:rowOff>161925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</xdr:row>
          <xdr:rowOff>114300</xdr:rowOff>
        </xdr:from>
        <xdr:to>
          <xdr:col>12</xdr:col>
          <xdr:colOff>400050</xdr:colOff>
          <xdr:row>8</xdr:row>
          <xdr:rowOff>114300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specificatie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30480</xdr:colOff>
      <xdr:row>68</xdr:row>
      <xdr:rowOff>7620</xdr:rowOff>
    </xdr:from>
    <xdr:to>
      <xdr:col>37</xdr:col>
      <xdr:colOff>754380</xdr:colOff>
      <xdr:row>68</xdr:row>
      <xdr:rowOff>7620</xdr:rowOff>
    </xdr:to>
    <xdr:sp macro="" textlink="">
      <xdr:nvSpPr>
        <xdr:cNvPr id="2074" name="Line 6"/>
        <xdr:cNvSpPr>
          <a:spLocks noChangeShapeType="1"/>
        </xdr:cNvSpPr>
      </xdr:nvSpPr>
      <xdr:spPr bwMode="auto">
        <a:xfrm flipV="1">
          <a:off x="6819900" y="1180338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57</xdr:row>
      <xdr:rowOff>30480</xdr:rowOff>
    </xdr:from>
    <xdr:to>
      <xdr:col>37</xdr:col>
      <xdr:colOff>731520</xdr:colOff>
      <xdr:row>57</xdr:row>
      <xdr:rowOff>30480</xdr:rowOff>
    </xdr:to>
    <xdr:sp macro="" textlink="">
      <xdr:nvSpPr>
        <xdr:cNvPr id="2075" name="Line 7"/>
        <xdr:cNvSpPr>
          <a:spLocks noChangeShapeType="1"/>
        </xdr:cNvSpPr>
      </xdr:nvSpPr>
      <xdr:spPr bwMode="auto">
        <a:xfrm>
          <a:off x="6819900" y="997458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13</xdr:row>
          <xdr:rowOff>28575</xdr:rowOff>
        </xdr:from>
        <xdr:to>
          <xdr:col>8</xdr:col>
          <xdr:colOff>57150</xdr:colOff>
          <xdr:row>15</xdr:row>
          <xdr:rowOff>142875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Rekenblad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514350</xdr:colOff>
          <xdr:row>7</xdr:row>
          <xdr:rowOff>66675</xdr:rowOff>
        </xdr:from>
        <xdr:to>
          <xdr:col>13</xdr:col>
          <xdr:colOff>552450</xdr:colOff>
          <xdr:row>10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333300"/>
                  </a:solidFill>
                  <a:latin typeface="Arial"/>
                  <a:cs typeface="Arial"/>
                </a:rPr>
                <a:t>Rekenblad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7</xdr:row>
          <xdr:rowOff>47625</xdr:rowOff>
        </xdr:from>
        <xdr:to>
          <xdr:col>15</xdr:col>
          <xdr:colOff>352425</xdr:colOff>
          <xdr:row>9</xdr:row>
          <xdr:rowOff>76200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333300"/>
                  </a:solidFill>
                  <a:latin typeface="Arial"/>
                  <a:cs typeface="Arial"/>
                </a:rPr>
                <a:t>Printen 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561975</xdr:colOff>
          <xdr:row>1</xdr:row>
          <xdr:rowOff>28575</xdr:rowOff>
        </xdr:from>
        <xdr:to>
          <xdr:col>15</xdr:col>
          <xdr:colOff>590550</xdr:colOff>
          <xdr:row>6</xdr:row>
          <xdr:rowOff>57150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autoPageBreaks="0"/>
  </sheetPr>
  <dimension ref="A1:P1074"/>
  <sheetViews>
    <sheetView showGridLines="0" showRowColHeaders="0" showZeros="0" tabSelected="1" showOutlineSymbols="0" defaultGridColor="0" colorId="9" zoomScaleNormal="100" workbookViewId="0">
      <selection activeCell="B67" sqref="B67:C67"/>
    </sheetView>
  </sheetViews>
  <sheetFormatPr defaultColWidth="9.140625" defaultRowHeight="12.75"/>
  <cols>
    <col min="1" max="1" width="20" style="30" customWidth="1"/>
    <col min="2" max="2" width="11.5703125" style="30" customWidth="1"/>
    <col min="3" max="5" width="8.7109375" style="30" customWidth="1"/>
    <col min="6" max="8" width="8.28515625" style="30" customWidth="1"/>
    <col min="9" max="9" width="5" style="30" customWidth="1"/>
    <col min="10" max="10" width="5.28515625" style="30" customWidth="1"/>
    <col min="11" max="11" width="7.5703125" style="30" customWidth="1"/>
    <col min="12" max="12" width="8.140625" style="30" customWidth="1"/>
    <col min="13" max="13" width="8.28515625" style="30" customWidth="1"/>
    <col min="14" max="14" width="9.42578125" style="30" customWidth="1"/>
    <col min="15" max="15" width="11.28515625" style="30" customWidth="1"/>
    <col min="16" max="16384" width="9.140625" style="30"/>
  </cols>
  <sheetData>
    <row r="1" spans="1:15" s="83" customFormat="1" ht="26.25" customHeight="1">
      <c r="A1" s="357" t="s">
        <v>1218</v>
      </c>
      <c r="B1" s="357"/>
      <c r="C1" s="357"/>
      <c r="D1" s="357"/>
      <c r="E1" s="357"/>
      <c r="F1" s="357"/>
      <c r="G1" s="357"/>
      <c r="H1" s="357"/>
      <c r="I1" s="357"/>
      <c r="J1" s="357"/>
      <c r="K1" s="28"/>
      <c r="L1" s="29"/>
      <c r="M1" s="29"/>
      <c r="N1" s="29"/>
    </row>
    <row r="2" spans="1:15" s="83" customFormat="1" ht="11.25" customHeight="1">
      <c r="A2" s="364" t="s">
        <v>892</v>
      </c>
      <c r="B2" s="364"/>
      <c r="C2" s="364"/>
      <c r="D2" s="364"/>
      <c r="E2" s="364"/>
      <c r="F2" s="364"/>
      <c r="G2" s="364"/>
      <c r="H2" s="364"/>
      <c r="I2" s="364"/>
      <c r="K2" s="28"/>
      <c r="L2" s="29"/>
      <c r="M2" s="31" t="s">
        <v>1050</v>
      </c>
      <c r="N2" s="105">
        <f ca="1">NOW()</f>
        <v>42401.387734837961</v>
      </c>
    </row>
    <row r="3" spans="1:15" s="83" customFormat="1" ht="16.5" customHeight="1">
      <c r="A3" s="94" t="s">
        <v>1046</v>
      </c>
      <c r="B3" s="249" t="s">
        <v>268</v>
      </c>
      <c r="C3" s="249"/>
      <c r="D3" s="249"/>
      <c r="E3" s="8" t="s">
        <v>1051</v>
      </c>
      <c r="F3" s="250" t="s">
        <v>269</v>
      </c>
      <c r="G3" s="250"/>
      <c r="H3" s="250"/>
      <c r="I3" s="250"/>
      <c r="J3" s="250"/>
      <c r="K3" s="250"/>
      <c r="L3" s="254" t="s">
        <v>154</v>
      </c>
      <c r="M3" s="254"/>
      <c r="N3" s="247" t="s">
        <v>155</v>
      </c>
      <c r="O3" s="247"/>
    </row>
    <row r="4" spans="1:15" s="83" customFormat="1" ht="16.7" customHeight="1">
      <c r="A4" s="95" t="s">
        <v>1047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94" t="s">
        <v>311</v>
      </c>
      <c r="M4" s="252" t="s">
        <v>268</v>
      </c>
      <c r="N4" s="253"/>
      <c r="O4" s="253"/>
    </row>
    <row r="5" spans="1:15" s="83" customFormat="1" ht="16.7" customHeight="1">
      <c r="A5" s="95" t="s">
        <v>1048</v>
      </c>
      <c r="B5" s="249" t="s">
        <v>148</v>
      </c>
      <c r="C5" s="249"/>
      <c r="D5" s="249"/>
      <c r="E5" s="249"/>
      <c r="F5" s="249"/>
      <c r="G5" s="249"/>
      <c r="H5" s="249"/>
      <c r="I5" s="249"/>
      <c r="J5" s="249"/>
      <c r="K5" s="249"/>
      <c r="L5" s="246" t="s">
        <v>1052</v>
      </c>
      <c r="M5" s="246"/>
      <c r="N5" s="248" t="s">
        <v>155</v>
      </c>
      <c r="O5" s="248"/>
    </row>
    <row r="6" spans="1:15" s="83" customFormat="1" ht="16.7" customHeight="1">
      <c r="A6" s="95" t="s">
        <v>1049</v>
      </c>
      <c r="B6" s="96"/>
      <c r="C6" s="96"/>
      <c r="D6" s="96"/>
      <c r="E6" s="96" t="s">
        <v>1051</v>
      </c>
      <c r="F6" s="259" t="str">
        <f>IF($B$7&gt;0.1,VLOOKUP(B7,'Gemeenten met categorie'!A3:F484,4),"")</f>
        <v xml:space="preserve">  Postbus 5,  5340 BA  OSS</v>
      </c>
      <c r="G6" s="259"/>
      <c r="H6" s="259"/>
      <c r="I6" s="259"/>
      <c r="J6" s="259"/>
      <c r="K6" s="259"/>
      <c r="L6" s="258" t="s">
        <v>1053</v>
      </c>
      <c r="M6" s="258"/>
      <c r="N6" s="248" t="s">
        <v>155</v>
      </c>
      <c r="O6" s="248"/>
    </row>
    <row r="7" spans="1:15" s="83" customFormat="1" ht="16.7" customHeight="1">
      <c r="A7" s="95"/>
      <c r="B7" s="97">
        <v>255</v>
      </c>
      <c r="C7" s="96"/>
      <c r="D7" s="97">
        <f>IF($B$7&gt;0.1,VLOOKUP($B$7,'Gemeenten met categorie'!A2:D493,3),"")</f>
        <v>1</v>
      </c>
      <c r="E7" s="96"/>
      <c r="F7" s="100"/>
      <c r="G7" s="98"/>
      <c r="H7" s="98"/>
      <c r="I7" s="98"/>
      <c r="J7" s="98"/>
      <c r="K7" s="98"/>
      <c r="L7" s="101"/>
    </row>
    <row r="8" spans="1:15" s="83" customFormat="1" ht="16.7" customHeight="1">
      <c r="A8" s="95" t="s">
        <v>1080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101"/>
    </row>
    <row r="9" spans="1:15" s="83" customFormat="1" ht="16.7" customHeight="1" thickBot="1">
      <c r="B9" s="97">
        <v>2</v>
      </c>
      <c r="C9" s="98"/>
      <c r="D9" s="98"/>
      <c r="E9" s="98"/>
      <c r="F9" s="98"/>
      <c r="G9" s="98"/>
      <c r="H9" s="98"/>
      <c r="I9" s="98"/>
      <c r="J9" s="101"/>
      <c r="K9" s="32"/>
      <c r="N9" s="83" t="s">
        <v>1023</v>
      </c>
    </row>
    <row r="10" spans="1:15" s="83" customFormat="1" ht="15" customHeight="1" thickTop="1" thickBot="1">
      <c r="A10" s="362" t="s">
        <v>784</v>
      </c>
      <c r="B10" s="362"/>
      <c r="C10" s="363"/>
      <c r="D10" s="234" t="s">
        <v>1024</v>
      </c>
      <c r="E10" s="235"/>
      <c r="F10" s="235"/>
      <c r="G10" s="236"/>
      <c r="H10" s="33" t="s">
        <v>1025</v>
      </c>
      <c r="I10" s="265" t="s">
        <v>1026</v>
      </c>
      <c r="J10" s="266"/>
      <c r="K10" s="266"/>
      <c r="L10" s="266"/>
      <c r="M10" s="267"/>
      <c r="N10" s="34" t="s">
        <v>1027</v>
      </c>
      <c r="O10" s="104"/>
    </row>
    <row r="11" spans="1:15" s="83" customFormat="1" ht="15" customHeight="1" thickTop="1">
      <c r="A11" s="102" t="s">
        <v>383</v>
      </c>
      <c r="B11" s="247" t="s">
        <v>607</v>
      </c>
      <c r="C11" s="365"/>
      <c r="D11" s="239" t="s">
        <v>775</v>
      </c>
      <c r="E11" s="240"/>
      <c r="F11" s="241" t="s">
        <v>776</v>
      </c>
      <c r="G11" s="242"/>
      <c r="H11" s="368" t="s">
        <v>1054</v>
      </c>
      <c r="I11" s="268" t="s">
        <v>1195</v>
      </c>
      <c r="J11" s="269"/>
      <c r="K11" s="269"/>
      <c r="L11" s="269"/>
      <c r="M11" s="270"/>
      <c r="N11" s="274">
        <f>SUM(N35:N47)</f>
        <v>0</v>
      </c>
      <c r="O11" s="275"/>
    </row>
    <row r="12" spans="1:15" s="83" customFormat="1" ht="15" customHeight="1" thickBot="1">
      <c r="A12" s="102" t="s">
        <v>311</v>
      </c>
      <c r="B12" s="366" t="s">
        <v>156</v>
      </c>
      <c r="C12" s="367"/>
      <c r="D12" s="263" t="s">
        <v>149</v>
      </c>
      <c r="E12" s="264"/>
      <c r="F12" s="263" t="s">
        <v>150</v>
      </c>
      <c r="G12" s="264"/>
      <c r="H12" s="369"/>
      <c r="I12" s="271"/>
      <c r="J12" s="272"/>
      <c r="K12" s="272"/>
      <c r="L12" s="272"/>
      <c r="M12" s="273"/>
      <c r="N12" s="274"/>
      <c r="O12" s="275"/>
    </row>
    <row r="13" spans="1:15" s="83" customFormat="1" ht="15" customHeight="1" thickTop="1">
      <c r="A13" s="102" t="s">
        <v>1052</v>
      </c>
      <c r="B13" s="370" t="s">
        <v>156</v>
      </c>
      <c r="C13" s="359"/>
      <c r="D13" s="232" t="s">
        <v>777</v>
      </c>
      <c r="E13" s="233"/>
      <c r="F13" s="360" t="s">
        <v>782</v>
      </c>
      <c r="G13" s="361"/>
      <c r="H13" s="25" t="s">
        <v>612</v>
      </c>
      <c r="I13" s="260" t="s">
        <v>1194</v>
      </c>
      <c r="J13" s="261"/>
      <c r="K13" s="261"/>
      <c r="L13" s="261"/>
      <c r="M13" s="262"/>
      <c r="N13" s="274">
        <f>IF($B$9=2,(SUM($N$50:$N$61)),0)</f>
        <v>0</v>
      </c>
      <c r="O13" s="275"/>
    </row>
    <row r="14" spans="1:15" s="83" customFormat="1" ht="15" customHeight="1">
      <c r="A14" s="102" t="s">
        <v>1053</v>
      </c>
      <c r="B14" s="351" t="s">
        <v>156</v>
      </c>
      <c r="C14" s="352"/>
      <c r="D14" s="237" t="s">
        <v>778</v>
      </c>
      <c r="E14" s="238"/>
      <c r="F14" s="358" t="s">
        <v>782</v>
      </c>
      <c r="G14" s="359"/>
      <c r="H14" s="24" t="s">
        <v>613</v>
      </c>
      <c r="I14" s="260" t="s">
        <v>1200</v>
      </c>
      <c r="J14" s="261"/>
      <c r="K14" s="261"/>
      <c r="L14" s="261"/>
      <c r="M14" s="262"/>
      <c r="N14" s="274">
        <f>IF(($B$9=3),(SUM($N$50:$N$61)),0)</f>
        <v>0</v>
      </c>
      <c r="O14" s="275"/>
    </row>
    <row r="15" spans="1:15" s="83" customFormat="1" ht="15" customHeight="1">
      <c r="A15" s="35" t="s">
        <v>783</v>
      </c>
      <c r="B15" s="351" t="s">
        <v>156</v>
      </c>
      <c r="C15" s="352"/>
      <c r="D15" s="376" t="s">
        <v>779</v>
      </c>
      <c r="E15" s="246"/>
      <c r="F15" s="355" t="s">
        <v>782</v>
      </c>
      <c r="G15" s="356"/>
      <c r="H15" s="303" t="s">
        <v>1055</v>
      </c>
      <c r="I15" s="286" t="s">
        <v>1217</v>
      </c>
      <c r="J15" s="287"/>
      <c r="K15" s="287"/>
      <c r="L15" s="287"/>
      <c r="M15" s="288"/>
      <c r="N15" s="274">
        <f>SUM(N64:N67)</f>
        <v>0</v>
      </c>
      <c r="O15" s="275"/>
    </row>
    <row r="16" spans="1:15" s="83" customFormat="1" ht="15" customHeight="1">
      <c r="A16" s="354" t="s">
        <v>151</v>
      </c>
      <c r="B16" s="354"/>
      <c r="C16" s="99"/>
      <c r="D16" s="371" t="s">
        <v>780</v>
      </c>
      <c r="E16" s="372"/>
      <c r="F16" s="355" t="s">
        <v>782</v>
      </c>
      <c r="G16" s="356"/>
      <c r="H16" s="304"/>
      <c r="I16" s="289"/>
      <c r="J16" s="290"/>
      <c r="K16" s="290"/>
      <c r="L16" s="290"/>
      <c r="M16" s="291"/>
      <c r="N16" s="274"/>
      <c r="O16" s="275"/>
    </row>
    <row r="17" spans="1:15" s="83" customFormat="1" ht="15" customHeight="1">
      <c r="A17" s="375" t="s">
        <v>152</v>
      </c>
      <c r="B17" s="375"/>
      <c r="C17" s="99"/>
      <c r="D17" s="373" t="s">
        <v>781</v>
      </c>
      <c r="E17" s="374"/>
      <c r="F17" s="355" t="s">
        <v>782</v>
      </c>
      <c r="G17" s="356"/>
      <c r="H17" s="303" t="s">
        <v>1056</v>
      </c>
      <c r="I17" s="286" t="s">
        <v>1057</v>
      </c>
      <c r="J17" s="287"/>
      <c r="K17" s="287"/>
      <c r="L17" s="287"/>
      <c r="M17" s="288"/>
      <c r="N17" s="274">
        <f>SUM(N69:N76)</f>
        <v>0</v>
      </c>
      <c r="O17" s="275"/>
    </row>
    <row r="18" spans="1:15" s="83" customFormat="1" ht="15" customHeight="1">
      <c r="A18" s="353" t="s">
        <v>153</v>
      </c>
      <c r="B18" s="353"/>
      <c r="C18" s="99"/>
      <c r="D18" s="373"/>
      <c r="E18" s="374"/>
      <c r="F18" s="250" t="s">
        <v>608</v>
      </c>
      <c r="G18" s="352"/>
      <c r="H18" s="304"/>
      <c r="I18" s="289"/>
      <c r="J18" s="290"/>
      <c r="K18" s="290"/>
      <c r="L18" s="290"/>
      <c r="M18" s="291"/>
      <c r="N18" s="274"/>
      <c r="O18" s="275"/>
    </row>
    <row r="19" spans="1:15" s="83" customFormat="1" ht="15" customHeight="1" thickBot="1">
      <c r="A19" s="103"/>
      <c r="B19" s="103"/>
      <c r="C19" s="99"/>
      <c r="D19" s="329"/>
      <c r="E19" s="330"/>
      <c r="F19" s="301" t="s">
        <v>608</v>
      </c>
      <c r="G19" s="302"/>
      <c r="H19" s="292" t="s">
        <v>1028</v>
      </c>
      <c r="I19" s="293"/>
      <c r="J19" s="293"/>
      <c r="K19" s="293"/>
      <c r="L19" s="293"/>
      <c r="M19" s="294"/>
      <c r="N19" s="310">
        <f>SUM(N11:N18)</f>
        <v>0</v>
      </c>
      <c r="O19" s="311"/>
    </row>
    <row r="20" spans="1:15" s="83" customFormat="1" ht="15" customHeight="1" thickTop="1">
      <c r="A20" s="342" t="s">
        <v>1061</v>
      </c>
      <c r="B20" s="342"/>
      <c r="C20" s="342"/>
      <c r="D20" s="342"/>
      <c r="E20" s="342"/>
      <c r="F20" s="36"/>
      <c r="G20" s="36"/>
      <c r="H20" s="36"/>
      <c r="I20" s="36"/>
      <c r="J20" s="36"/>
      <c r="K20" s="36"/>
      <c r="L20" s="36"/>
      <c r="M20" s="36"/>
      <c r="N20" s="36"/>
    </row>
    <row r="21" spans="1:15" s="83" customFormat="1" ht="14.25" customHeight="1">
      <c r="A21" s="338" t="str">
        <f>+IF(AND(D25&gt;0,D25&lt;0.3),("invoer fout breedte tegels"),IF(AND(D26&gt;0,D26&lt;0.3),("invoer fout breedte tegels"),IF(AND(D27&gt;0,D27&lt;0.3),("invoer fout breedte tegels"),"")))</f>
        <v/>
      </c>
      <c r="B21" s="339"/>
      <c r="C21" s="37"/>
      <c r="D21" s="37"/>
      <c r="E21" s="38" t="s">
        <v>1029</v>
      </c>
      <c r="F21" s="38"/>
      <c r="G21" s="37"/>
      <c r="H21" s="37"/>
      <c r="I21" s="279" t="s">
        <v>1084</v>
      </c>
      <c r="J21" s="280"/>
      <c r="K21" s="280"/>
      <c r="L21" s="281"/>
      <c r="M21" s="39"/>
      <c r="N21" s="36"/>
    </row>
    <row r="22" spans="1:15" s="83" customFormat="1" ht="12" customHeight="1">
      <c r="A22" s="338" t="str">
        <f>+IF(AND(G25&gt;0,G25&lt;0.25),("invoer fout breedte klinkers"),IF(AND(G26&gt;0,G26&lt;0.25),("invoer fout breedte klinkers"),IF(AND(G27&gt;0,G27&lt;0.25),("invoer fout breedte klinkers"),"")))</f>
        <v/>
      </c>
      <c r="B22" s="339"/>
      <c r="C22" s="343" t="s">
        <v>1030</v>
      </c>
      <c r="D22" s="344"/>
      <c r="E22" s="345"/>
      <c r="F22" s="295" t="s">
        <v>1031</v>
      </c>
      <c r="G22" s="296"/>
      <c r="H22" s="297"/>
      <c r="I22" s="282" t="s">
        <v>360</v>
      </c>
      <c r="J22" s="283"/>
      <c r="K22" s="282" t="s">
        <v>1062</v>
      </c>
      <c r="L22" s="283"/>
      <c r="M22" s="40"/>
      <c r="N22" s="41"/>
    </row>
    <row r="23" spans="1:15" s="83" customFormat="1" ht="12" customHeight="1">
      <c r="A23" s="340"/>
      <c r="B23" s="341"/>
      <c r="C23" s="346"/>
      <c r="D23" s="347"/>
      <c r="E23" s="348"/>
      <c r="F23" s="298"/>
      <c r="G23" s="299"/>
      <c r="H23" s="300"/>
      <c r="I23" s="284"/>
      <c r="J23" s="285"/>
      <c r="K23" s="284"/>
      <c r="L23" s="285"/>
      <c r="M23" s="40"/>
      <c r="N23" s="41"/>
    </row>
    <row r="24" spans="1:15" s="83" customFormat="1" ht="12.75" customHeight="1">
      <c r="A24" s="305" t="s">
        <v>1032</v>
      </c>
      <c r="B24" s="306"/>
      <c r="C24" s="43" t="s">
        <v>1033</v>
      </c>
      <c r="D24" s="43" t="s">
        <v>1034</v>
      </c>
      <c r="E24" s="44" t="s">
        <v>1035</v>
      </c>
      <c r="F24" s="45" t="s">
        <v>1033</v>
      </c>
      <c r="G24" s="46" t="s">
        <v>1034</v>
      </c>
      <c r="H24" s="44" t="s">
        <v>1035</v>
      </c>
      <c r="I24" s="305" t="s">
        <v>1036</v>
      </c>
      <c r="J24" s="306"/>
      <c r="K24" s="305" t="s">
        <v>1036</v>
      </c>
      <c r="L24" s="306"/>
      <c r="M24" s="40"/>
      <c r="N24" s="41"/>
    </row>
    <row r="25" spans="1:15" s="83" customFormat="1" ht="12.75" customHeight="1">
      <c r="A25" s="333" t="s">
        <v>270</v>
      </c>
      <c r="B25" s="334"/>
      <c r="C25" s="47"/>
      <c r="D25" s="48"/>
      <c r="E25" s="2" t="str">
        <f>IF($D$25&gt;=0.3,($C$25*$D$25),"")</f>
        <v/>
      </c>
      <c r="F25" s="47"/>
      <c r="G25" s="48"/>
      <c r="H25" s="3" t="str">
        <f>IF($G$25&gt;=0.25,($F$25*$G$25),"")</f>
        <v/>
      </c>
      <c r="I25" s="256"/>
      <c r="J25" s="257"/>
      <c r="K25" s="256"/>
      <c r="L25" s="257"/>
      <c r="M25" s="49"/>
      <c r="N25" s="50"/>
    </row>
    <row r="26" spans="1:15" s="83" customFormat="1" ht="12.75" customHeight="1">
      <c r="A26" s="333" t="s">
        <v>270</v>
      </c>
      <c r="B26" s="334"/>
      <c r="C26" s="20"/>
      <c r="D26" s="21"/>
      <c r="E26" s="2" t="str">
        <f>IF($D$26&gt;=0.3,($C$26*$D$26),"")</f>
        <v/>
      </c>
      <c r="F26" s="22"/>
      <c r="G26" s="23"/>
      <c r="H26" s="3" t="str">
        <f>IF($G$26&gt;=0.25,($F$26*$G$26),"")</f>
        <v/>
      </c>
      <c r="I26" s="256"/>
      <c r="J26" s="309"/>
      <c r="K26" s="256"/>
      <c r="L26" s="257"/>
      <c r="M26" s="49"/>
      <c r="N26" s="50"/>
    </row>
    <row r="27" spans="1:15" s="83" customFormat="1" ht="12.75" customHeight="1" thickBot="1">
      <c r="A27" s="349" t="s">
        <v>270</v>
      </c>
      <c r="B27" s="350"/>
      <c r="C27" s="51"/>
      <c r="D27" s="52"/>
      <c r="E27" s="27" t="str">
        <f>IF($D$27&gt;=0.3,($C$27*$D$27),"")</f>
        <v/>
      </c>
      <c r="F27" s="53"/>
      <c r="G27" s="52"/>
      <c r="H27" s="27" t="str">
        <f>IF($G$27&gt;=0.25,($F$27*$G$27),"")</f>
        <v/>
      </c>
      <c r="I27" s="307"/>
      <c r="J27" s="308"/>
      <c r="K27" s="307"/>
      <c r="L27" s="308"/>
      <c r="M27" s="49"/>
      <c r="N27" s="50"/>
    </row>
    <row r="28" spans="1:15" s="83" customFormat="1" ht="12.75" customHeight="1" thickTop="1">
      <c r="A28" s="337"/>
      <c r="B28" s="337"/>
      <c r="C28" s="54">
        <f>SUM(C25:C27)</f>
        <v>0</v>
      </c>
      <c r="D28" s="55"/>
      <c r="E28" s="56">
        <f>SUM(E25:E27)</f>
        <v>0</v>
      </c>
      <c r="F28" s="54">
        <f>SUM(F25:F27)</f>
        <v>0</v>
      </c>
      <c r="G28" s="55"/>
      <c r="H28" s="57">
        <f>SUM(H25:H27)</f>
        <v>0</v>
      </c>
      <c r="I28" s="278">
        <f>SUM(I25:J27)</f>
        <v>0</v>
      </c>
      <c r="J28" s="278"/>
      <c r="K28" s="278">
        <f>SUM(K25:L27)</f>
        <v>0</v>
      </c>
      <c r="L28" s="278"/>
      <c r="M28" s="57">
        <f>SUM(M25:M27)</f>
        <v>0</v>
      </c>
      <c r="N28" s="57">
        <f>SUM(N25:N27)</f>
        <v>0</v>
      </c>
    </row>
    <row r="29" spans="1:15" s="83" customFormat="1" ht="12" customHeight="1">
      <c r="C29" s="324" t="s">
        <v>1085</v>
      </c>
      <c r="D29" s="325"/>
      <c r="E29" s="326"/>
      <c r="F29" s="324" t="s">
        <v>1122</v>
      </c>
      <c r="G29" s="325"/>
      <c r="H29" s="325"/>
      <c r="I29" s="325"/>
      <c r="J29" s="326"/>
      <c r="K29" s="276" t="s">
        <v>359</v>
      </c>
      <c r="L29" s="277"/>
      <c r="M29" s="58" t="s">
        <v>361</v>
      </c>
      <c r="N29" s="58" t="s">
        <v>362</v>
      </c>
      <c r="O29" s="9"/>
    </row>
    <row r="30" spans="1:15" s="83" customFormat="1" ht="12.75" customHeight="1">
      <c r="A30" s="335" t="s">
        <v>1032</v>
      </c>
      <c r="B30" s="336"/>
      <c r="C30" s="7" t="s">
        <v>1033</v>
      </c>
      <c r="D30" s="7" t="s">
        <v>1034</v>
      </c>
      <c r="E30" s="44" t="s">
        <v>1035</v>
      </c>
      <c r="F30" s="1"/>
      <c r="G30" s="7" t="s">
        <v>1040</v>
      </c>
      <c r="H30" s="42" t="s">
        <v>1126</v>
      </c>
      <c r="I30" s="322" t="s">
        <v>1123</v>
      </c>
      <c r="J30" s="323"/>
      <c r="K30" s="7" t="s">
        <v>1033</v>
      </c>
      <c r="L30" s="7" t="s">
        <v>1034</v>
      </c>
      <c r="M30" s="60" t="s">
        <v>267</v>
      </c>
      <c r="N30" s="58" t="s">
        <v>363</v>
      </c>
      <c r="O30" s="59" t="s">
        <v>1123</v>
      </c>
    </row>
    <row r="31" spans="1:15" s="83" customFormat="1" ht="12.75" customHeight="1">
      <c r="A31" s="331" t="s">
        <v>785</v>
      </c>
      <c r="B31" s="332"/>
      <c r="C31" s="61"/>
      <c r="D31" s="62"/>
      <c r="E31" s="4" t="str">
        <f>IF($C31&gt;0,$C31*($D31+0),"")</f>
        <v/>
      </c>
      <c r="F31" s="63" t="s">
        <v>1124</v>
      </c>
      <c r="G31" s="61">
        <v>0</v>
      </c>
      <c r="H31" s="18">
        <v>0</v>
      </c>
      <c r="I31" s="327" t="str">
        <f>IF($G31&gt;0,$H31*($G31+0),"")</f>
        <v/>
      </c>
      <c r="J31" s="328"/>
      <c r="K31" s="12">
        <v>0</v>
      </c>
      <c r="L31" s="13">
        <v>0</v>
      </c>
      <c r="M31" s="14">
        <v>0</v>
      </c>
      <c r="N31" s="64">
        <v>0</v>
      </c>
      <c r="O31" s="10" t="str">
        <f>IF($K31&gt;0,($K$31*$L$31*$M$31)*($N$31),"")</f>
        <v/>
      </c>
    </row>
    <row r="32" spans="1:15" s="83" customFormat="1" ht="12.75" customHeight="1" thickBot="1">
      <c r="A32" s="320" t="s">
        <v>785</v>
      </c>
      <c r="B32" s="321"/>
      <c r="C32" s="65"/>
      <c r="D32" s="66"/>
      <c r="E32" s="5" t="str">
        <f>IF($C32&gt;0,$C32*($D32+0),"")</f>
        <v/>
      </c>
      <c r="F32" s="67" t="s">
        <v>1125</v>
      </c>
      <c r="G32" s="65">
        <v>0</v>
      </c>
      <c r="H32" s="19">
        <v>0</v>
      </c>
      <c r="I32" s="318" t="str">
        <f>IF($G32&gt;0,$H32*($G32+0),"")</f>
        <v/>
      </c>
      <c r="J32" s="319"/>
      <c r="K32" s="15">
        <v>0</v>
      </c>
      <c r="L32" s="16">
        <v>0</v>
      </c>
      <c r="M32" s="17">
        <v>0</v>
      </c>
      <c r="N32" s="68">
        <v>0</v>
      </c>
      <c r="O32" s="11" t="str">
        <f>IF($K32&gt;0,($K$32*$L$32*$M$32)*($N$32),"")</f>
        <v/>
      </c>
    </row>
    <row r="33" spans="1:15" s="83" customFormat="1" ht="10.5" customHeight="1" thickTop="1">
      <c r="A33" s="107" t="s">
        <v>380</v>
      </c>
      <c r="B33" s="317"/>
      <c r="C33" s="317"/>
      <c r="E33" s="108">
        <f>SUM(E31:E32)</f>
        <v>0</v>
      </c>
      <c r="F33" s="109">
        <f>SUM(F31:F32)</f>
        <v>0</v>
      </c>
      <c r="G33" s="110">
        <f>G31</f>
        <v>0</v>
      </c>
      <c r="H33" s="111">
        <f>SUM(H31:I32)</f>
        <v>0</v>
      </c>
      <c r="I33" s="111"/>
      <c r="K33" s="108">
        <f>SUM(M31:M32)</f>
        <v>0</v>
      </c>
      <c r="N33" s="108">
        <f>SUM(O31:O32)</f>
        <v>0</v>
      </c>
    </row>
    <row r="34" spans="1:15" s="83" customFormat="1" ht="10.5" customHeight="1">
      <c r="A34" s="69" t="s">
        <v>329</v>
      </c>
      <c r="C34" s="112" t="s">
        <v>1060</v>
      </c>
      <c r="E34" s="108"/>
      <c r="H34" s="108"/>
      <c r="K34" s="108"/>
      <c r="N34" s="108"/>
    </row>
    <row r="35" spans="1:15" s="83" customFormat="1" ht="11.1" customHeight="1">
      <c r="A35" s="244" t="s">
        <v>1133</v>
      </c>
      <c r="B35" s="244"/>
      <c r="C35" s="244"/>
      <c r="D35" s="243" t="s">
        <v>1151</v>
      </c>
      <c r="E35" s="243"/>
      <c r="F35" s="114"/>
      <c r="G35" s="115">
        <f>IF(AND($B$9=1,K35&gt;0),('Gemeenten met categorie'!K2),0)</f>
        <v>0</v>
      </c>
      <c r="H35" s="116" t="s">
        <v>1141</v>
      </c>
      <c r="I35" s="70" t="s">
        <v>1037</v>
      </c>
      <c r="J35" s="117" t="s">
        <v>1038</v>
      </c>
      <c r="K35" s="26" t="str">
        <f>IF(($B$9=1),('Gemeenten met categorie'!I2),"")</f>
        <v/>
      </c>
      <c r="L35" s="70" t="s">
        <v>1142</v>
      </c>
      <c r="M35" s="118" t="s">
        <v>1039</v>
      </c>
      <c r="N35" s="255" t="str">
        <f>IF(AND('Gemeenten met categorie'!K2&gt;=0.29,K35&gt;10),('Gemeenten met categorie'!K2*K35),"")</f>
        <v/>
      </c>
      <c r="O35" s="255"/>
    </row>
    <row r="36" spans="1:15" s="83" customFormat="1" ht="11.1" customHeight="1">
      <c r="A36" s="244" t="s">
        <v>1133</v>
      </c>
      <c r="B36" s="244"/>
      <c r="C36" s="244"/>
      <c r="D36" s="243" t="s">
        <v>1152</v>
      </c>
      <c r="E36" s="243"/>
      <c r="F36" s="114"/>
      <c r="G36" s="115">
        <f>IF(AND($B$9=1,K36&gt;0),('Gemeenten met categorie'!K3),0)</f>
        <v>0</v>
      </c>
      <c r="H36" s="116" t="s">
        <v>1141</v>
      </c>
      <c r="I36" s="70" t="s">
        <v>1037</v>
      </c>
      <c r="J36" s="117" t="s">
        <v>1038</v>
      </c>
      <c r="K36" s="26" t="str">
        <f>IF(($B$9=1),('Gemeenten met categorie'!I3),"")</f>
        <v/>
      </c>
      <c r="L36" s="70" t="s">
        <v>1142</v>
      </c>
      <c r="M36" s="118" t="s">
        <v>1039</v>
      </c>
      <c r="N36" s="255" t="str">
        <f>IF(AND('Gemeenten met categorie'!K3&gt;1,K36&gt;10),('Gemeenten met categorie'!K3*K36),"")</f>
        <v/>
      </c>
      <c r="O36" s="255"/>
    </row>
    <row r="37" spans="1:15" s="83" customFormat="1" ht="11.1" customHeight="1">
      <c r="A37" s="244" t="s">
        <v>1133</v>
      </c>
      <c r="B37" s="244"/>
      <c r="C37" s="244"/>
      <c r="D37" s="243" t="s">
        <v>1153</v>
      </c>
      <c r="E37" s="243"/>
      <c r="F37" s="114"/>
      <c r="G37" s="115">
        <f>IF(AND($B$9=1,K37&gt;0),('Gemeenten met categorie'!K4),0)</f>
        <v>0</v>
      </c>
      <c r="H37" s="116" t="s">
        <v>1141</v>
      </c>
      <c r="I37" s="70" t="s">
        <v>1037</v>
      </c>
      <c r="J37" s="117" t="s">
        <v>1038</v>
      </c>
      <c r="K37" s="26" t="str">
        <f>IF(($B$9=1),('Gemeenten met categorie'!I4),"")</f>
        <v/>
      </c>
      <c r="L37" s="70" t="s">
        <v>1142</v>
      </c>
      <c r="M37" s="118" t="s">
        <v>1039</v>
      </c>
      <c r="N37" s="255" t="str">
        <f>IF(AND('Gemeenten met categorie'!K4&gt;=1,K37&gt;10),('Gemeenten met categorie'!K4*K37),"")</f>
        <v/>
      </c>
      <c r="O37" s="255"/>
    </row>
    <row r="38" spans="1:15" s="83" customFormat="1" ht="11.1" customHeight="1">
      <c r="A38" s="244" t="s">
        <v>1134</v>
      </c>
      <c r="B38" s="244"/>
      <c r="C38" s="244"/>
      <c r="D38" s="243" t="s">
        <v>1154</v>
      </c>
      <c r="E38" s="243"/>
      <c r="F38" s="114"/>
      <c r="G38" s="115">
        <f>IF(AND($B$9=1,K38&gt;0),('Gemeenten met categorie'!K5),0)</f>
        <v>0</v>
      </c>
      <c r="H38" s="119" t="s">
        <v>1040</v>
      </c>
      <c r="I38" s="70" t="s">
        <v>1037</v>
      </c>
      <c r="J38" s="117" t="s">
        <v>1038</v>
      </c>
      <c r="K38" s="26" t="str">
        <f>IF(($B$9=1),('Gemeenten met categorie'!I5),"")</f>
        <v/>
      </c>
      <c r="L38" s="117" t="s">
        <v>1158</v>
      </c>
      <c r="M38" s="118" t="s">
        <v>1039</v>
      </c>
      <c r="N38" s="255" t="str">
        <f>IF(AND('Gemeenten met categorie'!K5&gt;=1,K38&gt;0.11),('Gemeenten met categorie'!K5*K38),"")</f>
        <v/>
      </c>
      <c r="O38" s="255"/>
    </row>
    <row r="39" spans="1:15" s="83" customFormat="1" ht="11.1" customHeight="1">
      <c r="A39" s="114"/>
      <c r="B39" s="244" t="s">
        <v>1135</v>
      </c>
      <c r="C39" s="244"/>
      <c r="D39" s="243" t="s">
        <v>1152</v>
      </c>
      <c r="E39" s="243"/>
      <c r="F39" s="114"/>
      <c r="G39" s="115">
        <f>IF(AND($B$9=1,K39&gt;0),('Gemeenten met categorie'!K7),0)</f>
        <v>0</v>
      </c>
      <c r="H39" s="71" t="s">
        <v>1156</v>
      </c>
      <c r="I39" s="70" t="s">
        <v>1037</v>
      </c>
      <c r="J39" s="117" t="s">
        <v>1038</v>
      </c>
      <c r="K39" s="26" t="str">
        <f>IF(($B$9=1),('Gemeenten met categorie'!I7),"")</f>
        <v/>
      </c>
      <c r="L39" s="70" t="s">
        <v>1157</v>
      </c>
      <c r="M39" s="118" t="s">
        <v>1039</v>
      </c>
      <c r="N39" s="255" t="str">
        <f>IF(AND('Gemeenten met categorie'!K7&gt;=1,K39&gt;0.1),('Gemeenten met categorie'!K7*K39),"")</f>
        <v/>
      </c>
      <c r="O39" s="255"/>
    </row>
    <row r="40" spans="1:15" s="83" customFormat="1" ht="11.1" customHeight="1">
      <c r="A40" s="114"/>
      <c r="B40" s="244" t="s">
        <v>1135</v>
      </c>
      <c r="C40" s="244"/>
      <c r="D40" s="243" t="s">
        <v>1153</v>
      </c>
      <c r="E40" s="243"/>
      <c r="F40" s="114"/>
      <c r="G40" s="115">
        <f>IF(AND($B$9=1,K40&gt;0),('Gemeenten met categorie'!K8),0)</f>
        <v>0</v>
      </c>
      <c r="H40" s="71" t="s">
        <v>1156</v>
      </c>
      <c r="I40" s="70" t="s">
        <v>1037</v>
      </c>
      <c r="J40" s="117" t="s">
        <v>1038</v>
      </c>
      <c r="K40" s="26" t="str">
        <f>IF(($B$9=1),('Gemeenten met categorie'!I8),"")</f>
        <v/>
      </c>
      <c r="L40" s="70" t="s">
        <v>1157</v>
      </c>
      <c r="M40" s="118" t="s">
        <v>1039</v>
      </c>
      <c r="N40" s="255" t="str">
        <f>IF(AND('Gemeenten met categorie'!K8&gt;=1,K40&gt;0.1),('Gemeenten met categorie'!K8*K40),"")</f>
        <v/>
      </c>
      <c r="O40" s="255"/>
    </row>
    <row r="41" spans="1:15" s="83" customFormat="1" ht="5.25" customHeight="1">
      <c r="A41" s="114"/>
      <c r="B41" s="244"/>
      <c r="C41" s="244"/>
      <c r="D41" s="243"/>
      <c r="E41" s="243"/>
      <c r="F41" s="114"/>
      <c r="G41" s="115"/>
      <c r="H41" s="71"/>
      <c r="I41" s="70"/>
      <c r="J41" s="117"/>
      <c r="K41" s="26"/>
      <c r="L41" s="70"/>
      <c r="M41" s="118"/>
      <c r="N41" s="255"/>
      <c r="O41" s="255"/>
    </row>
    <row r="42" spans="1:15" s="83" customFormat="1" ht="11.1" customHeight="1">
      <c r="A42" s="244" t="s">
        <v>1132</v>
      </c>
      <c r="B42" s="244"/>
      <c r="C42" s="244"/>
      <c r="D42" s="243" t="s">
        <v>1151</v>
      </c>
      <c r="E42" s="243"/>
      <c r="F42" s="114"/>
      <c r="G42" s="115">
        <f>IF(AND($B$9=1,K42&gt;0),('Gemeenten met categorie'!K9),0)</f>
        <v>0</v>
      </c>
      <c r="H42" s="116" t="s">
        <v>1141</v>
      </c>
      <c r="I42" s="70" t="s">
        <v>1037</v>
      </c>
      <c r="J42" s="117" t="s">
        <v>1038</v>
      </c>
      <c r="K42" s="26" t="str">
        <f>IF(($B$9=1),('Gemeenten met categorie'!I9),"")</f>
        <v/>
      </c>
      <c r="L42" s="70" t="s">
        <v>1142</v>
      </c>
      <c r="M42" s="118" t="s">
        <v>1039</v>
      </c>
      <c r="N42" s="255" t="str">
        <f t="shared" ref="N42:N48" si="0">IF(AND(G42&gt;0,K42&gt;0),(G42*K42),"")</f>
        <v/>
      </c>
      <c r="O42" s="255"/>
    </row>
    <row r="43" spans="1:15" s="83" customFormat="1" ht="11.1" customHeight="1">
      <c r="A43" s="244" t="s">
        <v>1132</v>
      </c>
      <c r="B43" s="244"/>
      <c r="C43" s="244"/>
      <c r="D43" s="243" t="s">
        <v>1152</v>
      </c>
      <c r="E43" s="243"/>
      <c r="F43" s="114"/>
      <c r="G43" s="115">
        <f>IF(AND($B$9=1,K43&gt;0),('Gemeenten met categorie'!K10),0)</f>
        <v>0</v>
      </c>
      <c r="H43" s="116" t="s">
        <v>1141</v>
      </c>
      <c r="I43" s="70" t="s">
        <v>1037</v>
      </c>
      <c r="J43" s="117" t="s">
        <v>1038</v>
      </c>
      <c r="K43" s="26" t="str">
        <f>IF(($B$9=1),('Gemeenten met categorie'!I10),"")</f>
        <v/>
      </c>
      <c r="L43" s="70" t="s">
        <v>1142</v>
      </c>
      <c r="M43" s="118" t="s">
        <v>1039</v>
      </c>
      <c r="N43" s="255" t="str">
        <f t="shared" si="0"/>
        <v/>
      </c>
      <c r="O43" s="255"/>
    </row>
    <row r="44" spans="1:15" s="83" customFormat="1" ht="11.1" customHeight="1">
      <c r="A44" s="244" t="s">
        <v>1132</v>
      </c>
      <c r="B44" s="244"/>
      <c r="C44" s="244"/>
      <c r="D44" s="243" t="s">
        <v>1153</v>
      </c>
      <c r="E44" s="243"/>
      <c r="F44" s="114"/>
      <c r="G44" s="115">
        <f>IF(AND($B$9=1,K44&gt;0),('Gemeenten met categorie'!K11),0)</f>
        <v>0</v>
      </c>
      <c r="H44" s="116" t="s">
        <v>1141</v>
      </c>
      <c r="I44" s="70" t="s">
        <v>1037</v>
      </c>
      <c r="J44" s="117" t="s">
        <v>1038</v>
      </c>
      <c r="K44" s="26" t="str">
        <f>IF(($B$9=1),('Gemeenten met categorie'!I11),"")</f>
        <v/>
      </c>
      <c r="L44" s="70" t="s">
        <v>1142</v>
      </c>
      <c r="M44" s="118" t="s">
        <v>1039</v>
      </c>
      <c r="N44" s="255" t="str">
        <f t="shared" si="0"/>
        <v/>
      </c>
      <c r="O44" s="255"/>
    </row>
    <row r="45" spans="1:15" s="83" customFormat="1" ht="11.1" customHeight="1">
      <c r="A45" s="244" t="s">
        <v>1136</v>
      </c>
      <c r="B45" s="244"/>
      <c r="C45" s="244"/>
      <c r="D45" s="243" t="s">
        <v>1154</v>
      </c>
      <c r="E45" s="243"/>
      <c r="F45" s="114"/>
      <c r="G45" s="115">
        <f>IF(AND($B$9=1,K45&gt;0),('Gemeenten met categorie'!K12),0)</f>
        <v>0</v>
      </c>
      <c r="H45" s="71" t="s">
        <v>1040</v>
      </c>
      <c r="I45" s="70" t="s">
        <v>1037</v>
      </c>
      <c r="J45" s="117" t="s">
        <v>1038</v>
      </c>
      <c r="K45" s="26" t="str">
        <f>IF(($B$9=1),('Gemeenten met categorie'!I12),"")</f>
        <v/>
      </c>
      <c r="L45" s="117" t="s">
        <v>1158</v>
      </c>
      <c r="M45" s="118" t="s">
        <v>1039</v>
      </c>
      <c r="N45" s="255" t="str">
        <f t="shared" si="0"/>
        <v/>
      </c>
      <c r="O45" s="255"/>
    </row>
    <row r="46" spans="1:15" s="83" customFormat="1" ht="11.1" customHeight="1">
      <c r="A46" s="114"/>
      <c r="B46" s="244" t="s">
        <v>1135</v>
      </c>
      <c r="C46" s="244"/>
      <c r="D46" s="243" t="s">
        <v>1151</v>
      </c>
      <c r="E46" s="243"/>
      <c r="F46" s="114"/>
      <c r="G46" s="115">
        <f>IF(AND($B$9=1,K46&gt;0),('Gemeenten met categorie'!$K$14),0)</f>
        <v>0</v>
      </c>
      <c r="H46" s="71" t="s">
        <v>1156</v>
      </c>
      <c r="I46" s="70" t="s">
        <v>1037</v>
      </c>
      <c r="J46" s="117" t="s">
        <v>1038</v>
      </c>
      <c r="K46" s="26" t="str">
        <f>IF(($B$9=1),('Gemeenten met categorie'!$I$14),"")</f>
        <v/>
      </c>
      <c r="L46" s="70" t="s">
        <v>1157</v>
      </c>
      <c r="M46" s="118" t="s">
        <v>1039</v>
      </c>
      <c r="N46" s="255" t="str">
        <f>IF(AND(G46&gt;0,K46&gt;0),(G46*K46),"")</f>
        <v/>
      </c>
      <c r="O46" s="255"/>
    </row>
    <row r="47" spans="1:15" s="83" customFormat="1" ht="11.1" customHeight="1">
      <c r="A47" s="114"/>
      <c r="B47" s="244" t="s">
        <v>1135</v>
      </c>
      <c r="C47" s="244"/>
      <c r="D47" s="243" t="s">
        <v>1153</v>
      </c>
      <c r="E47" s="243"/>
      <c r="F47" s="114"/>
      <c r="G47" s="115">
        <f>IF(AND($B$9=1,K47&gt;0),('Gemeenten met categorie'!$K$15),0)</f>
        <v>0</v>
      </c>
      <c r="H47" s="71" t="s">
        <v>1156</v>
      </c>
      <c r="I47" s="70" t="s">
        <v>1037</v>
      </c>
      <c r="J47" s="117" t="s">
        <v>1038</v>
      </c>
      <c r="K47" s="26" t="str">
        <f>IF(($B$9=1),('Gemeenten met categorie'!$I$15),"")</f>
        <v/>
      </c>
      <c r="L47" s="70" t="s">
        <v>1157</v>
      </c>
      <c r="M47" s="118" t="s">
        <v>1039</v>
      </c>
      <c r="N47" s="255" t="str">
        <f t="shared" si="0"/>
        <v/>
      </c>
      <c r="O47" s="255"/>
    </row>
    <row r="48" spans="1:15" s="83" customFormat="1" ht="3" customHeight="1">
      <c r="A48" s="114"/>
      <c r="B48" s="114"/>
      <c r="C48" s="114"/>
      <c r="D48" s="120"/>
      <c r="E48" s="120"/>
      <c r="F48" s="114"/>
      <c r="G48" s="115"/>
      <c r="H48" s="71"/>
      <c r="I48" s="70"/>
      <c r="J48" s="117"/>
      <c r="K48" s="26"/>
      <c r="L48" s="70"/>
      <c r="M48" s="118"/>
      <c r="N48" s="255" t="str">
        <f t="shared" si="0"/>
        <v/>
      </c>
      <c r="O48" s="255"/>
    </row>
    <row r="49" spans="1:15" s="83" customFormat="1" ht="2.25" customHeight="1">
      <c r="A49" s="72"/>
      <c r="B49" s="72"/>
      <c r="C49" s="114"/>
      <c r="D49" s="73"/>
      <c r="E49" s="74"/>
      <c r="F49" s="114"/>
      <c r="G49" s="115"/>
      <c r="H49" s="70"/>
      <c r="I49" s="70"/>
      <c r="J49" s="113"/>
      <c r="K49" s="26"/>
      <c r="L49" s="70"/>
      <c r="M49" s="121"/>
      <c r="N49" s="255"/>
      <c r="O49" s="255"/>
    </row>
    <row r="50" spans="1:15" s="83" customFormat="1" ht="11.1" customHeight="1">
      <c r="A50" s="245" t="s">
        <v>330</v>
      </c>
      <c r="B50" s="244" t="s">
        <v>1134</v>
      </c>
      <c r="C50" s="244"/>
      <c r="D50" s="243" t="s">
        <v>1154</v>
      </c>
      <c r="E50" s="243"/>
      <c r="F50" s="114"/>
      <c r="G50" s="115">
        <f>IF(AND($B$9&gt;1,$B$9&lt;4,K50&gt;0),('Gemeenten met categorie'!K18),0)</f>
        <v>0</v>
      </c>
      <c r="H50" s="71" t="s">
        <v>1040</v>
      </c>
      <c r="I50" s="70" t="s">
        <v>1037</v>
      </c>
      <c r="J50" s="113" t="s">
        <v>1038</v>
      </c>
      <c r="K50" s="26">
        <f>IF(AND($B$9&gt;1,$B$9&lt;4),('Gemeenten met categorie'!I18),"")</f>
        <v>0</v>
      </c>
      <c r="L50" s="117" t="s">
        <v>1158</v>
      </c>
      <c r="M50" s="121" t="s">
        <v>1039</v>
      </c>
      <c r="N50" s="255" t="str">
        <f>IF(AND(G50&gt;0,K50&gt;0),(G50*K50),"")</f>
        <v/>
      </c>
      <c r="O50" s="255"/>
    </row>
    <row r="51" spans="1:15" s="83" customFormat="1" ht="11.1" customHeight="1">
      <c r="A51" s="245"/>
      <c r="B51" s="244" t="s">
        <v>1134</v>
      </c>
      <c r="C51" s="244"/>
      <c r="D51" s="243" t="s">
        <v>964</v>
      </c>
      <c r="E51" s="243"/>
      <c r="F51" s="114"/>
      <c r="G51" s="115">
        <f>IF(AND($B$9&gt;1,$B$9&lt;4,K51&gt;0),('Gemeenten met categorie'!K19),0)</f>
        <v>0</v>
      </c>
      <c r="H51" s="71" t="s">
        <v>1156</v>
      </c>
      <c r="I51" s="70" t="s">
        <v>1037</v>
      </c>
      <c r="J51" s="113" t="s">
        <v>1038</v>
      </c>
      <c r="K51" s="26" t="str">
        <f>IF(AND($B$9&gt;1,$B$9&lt;4,$H$28&gt;15),('Gemeenten met categorie'!I19),"")</f>
        <v/>
      </c>
      <c r="L51" s="70" t="s">
        <v>1157</v>
      </c>
      <c r="M51" s="121" t="s">
        <v>1039</v>
      </c>
      <c r="N51" s="255" t="str">
        <f t="shared" ref="N51:N61" si="1">IF(AND(G51&gt;0,K51&gt;0),(G51*K51),"")</f>
        <v/>
      </c>
      <c r="O51" s="255"/>
    </row>
    <row r="52" spans="1:15" s="83" customFormat="1" ht="11.1" customHeight="1">
      <c r="A52" s="114"/>
      <c r="B52" s="244" t="s">
        <v>1137</v>
      </c>
      <c r="C52" s="244"/>
      <c r="D52" s="243" t="s">
        <v>1151</v>
      </c>
      <c r="E52" s="243"/>
      <c r="F52" s="114"/>
      <c r="G52" s="115">
        <f>IF(AND($B$9&gt;1,$B$9&lt;4,K52&gt;0),('Gemeenten met categorie'!K22),0)</f>
        <v>0</v>
      </c>
      <c r="H52" s="116" t="s">
        <v>1141</v>
      </c>
      <c r="I52" s="70" t="s">
        <v>1037</v>
      </c>
      <c r="J52" s="113" t="s">
        <v>1038</v>
      </c>
      <c r="K52" s="26">
        <f>IF(AND($B$9&gt;1,$B$9&lt;4,$H$28&lt;=15),('Gemeenten met categorie'!I22),"")</f>
        <v>0</v>
      </c>
      <c r="L52" s="70" t="s">
        <v>1142</v>
      </c>
      <c r="M52" s="121" t="s">
        <v>1039</v>
      </c>
      <c r="N52" s="255" t="str">
        <f t="shared" si="1"/>
        <v/>
      </c>
      <c r="O52" s="255"/>
    </row>
    <row r="53" spans="1:15" s="83" customFormat="1" ht="11.1" customHeight="1">
      <c r="A53" s="114"/>
      <c r="B53" s="244" t="s">
        <v>1137</v>
      </c>
      <c r="C53" s="244"/>
      <c r="D53" s="243" t="s">
        <v>1152</v>
      </c>
      <c r="E53" s="243"/>
      <c r="F53" s="114"/>
      <c r="G53" s="115">
        <f>IF(AND($B$9&gt;1,$B$9&lt;4,K53&gt;0),('Gemeenten met categorie'!$K$23),0)</f>
        <v>0</v>
      </c>
      <c r="H53" s="116" t="s">
        <v>1141</v>
      </c>
      <c r="I53" s="70" t="s">
        <v>1037</v>
      </c>
      <c r="J53" s="113" t="s">
        <v>1038</v>
      </c>
      <c r="K53" s="26" t="str">
        <f>IF(AND($B$9&gt;1,$B$9&lt;4,$H$28&gt;15),('Gemeenten met categorie'!$I$23),"")</f>
        <v/>
      </c>
      <c r="L53" s="70" t="s">
        <v>1142</v>
      </c>
      <c r="M53" s="121" t="s">
        <v>1039</v>
      </c>
      <c r="N53" s="255" t="str">
        <f t="shared" si="1"/>
        <v/>
      </c>
      <c r="O53" s="255"/>
    </row>
    <row r="54" spans="1:15" s="83" customFormat="1" ht="11.1" customHeight="1">
      <c r="A54" s="114"/>
      <c r="B54" s="244" t="s">
        <v>1138</v>
      </c>
      <c r="C54" s="244"/>
      <c r="D54" s="243" t="s">
        <v>1151</v>
      </c>
      <c r="E54" s="243"/>
      <c r="F54" s="114"/>
      <c r="G54" s="115">
        <f>IF(AND($B$9=3,K54&gt;0),('Gemeenten met categorie'!$K$28),0)</f>
        <v>0</v>
      </c>
      <c r="H54" s="116" t="s">
        <v>1141</v>
      </c>
      <c r="I54" s="70" t="s">
        <v>1037</v>
      </c>
      <c r="J54" s="113" t="s">
        <v>1038</v>
      </c>
      <c r="K54" s="26" t="str">
        <f>IF(AND($B$9=3),('Gemeenten met categorie'!$I$28),"")</f>
        <v/>
      </c>
      <c r="L54" s="70" t="s">
        <v>1142</v>
      </c>
      <c r="M54" s="121" t="s">
        <v>1039</v>
      </c>
      <c r="N54" s="255" t="str">
        <f t="shared" si="1"/>
        <v/>
      </c>
      <c r="O54" s="255"/>
    </row>
    <row r="55" spans="1:15" s="83" customFormat="1" ht="11.1" customHeight="1">
      <c r="A55" s="72"/>
      <c r="B55" s="244" t="s">
        <v>1138</v>
      </c>
      <c r="C55" s="244"/>
      <c r="D55" s="243" t="s">
        <v>1152</v>
      </c>
      <c r="E55" s="243"/>
      <c r="F55" s="114"/>
      <c r="G55" s="115">
        <f>IF(AND($B$9=3,K55&gt;0),('Gemeenten met categorie'!$K$29),0)</f>
        <v>0</v>
      </c>
      <c r="H55" s="116" t="s">
        <v>1141</v>
      </c>
      <c r="I55" s="70" t="s">
        <v>1037</v>
      </c>
      <c r="J55" s="113" t="s">
        <v>1038</v>
      </c>
      <c r="K55" s="26" t="str">
        <f>IF(AND($B$9=3),('Gemeenten met categorie'!$I$29),"")</f>
        <v/>
      </c>
      <c r="L55" s="70" t="s">
        <v>1142</v>
      </c>
      <c r="M55" s="121" t="s">
        <v>1039</v>
      </c>
      <c r="N55" s="255" t="str">
        <f t="shared" si="1"/>
        <v/>
      </c>
      <c r="O55" s="255"/>
    </row>
    <row r="56" spans="1:15" s="83" customFormat="1" ht="11.1" customHeight="1">
      <c r="A56" s="114"/>
      <c r="B56" s="244" t="s">
        <v>1139</v>
      </c>
      <c r="C56" s="244"/>
      <c r="D56" s="243" t="s">
        <v>1151</v>
      </c>
      <c r="E56" s="243"/>
      <c r="F56" s="114"/>
      <c r="G56" s="115">
        <f>IF(AND($B$9=3,K56&gt;0),('Gemeenten met categorie'!K30),0)</f>
        <v>0</v>
      </c>
      <c r="H56" s="116" t="s">
        <v>1141</v>
      </c>
      <c r="I56" s="70" t="s">
        <v>1037</v>
      </c>
      <c r="J56" s="113" t="s">
        <v>1038</v>
      </c>
      <c r="K56" s="26" t="str">
        <f>IF(AND($B$9=3),('Gemeenten met categorie'!I30),"")</f>
        <v/>
      </c>
      <c r="L56" s="70" t="s">
        <v>1142</v>
      </c>
      <c r="M56" s="121" t="s">
        <v>1039</v>
      </c>
      <c r="N56" s="255" t="str">
        <f t="shared" si="1"/>
        <v/>
      </c>
      <c r="O56" s="255"/>
    </row>
    <row r="57" spans="1:15" s="83" customFormat="1" ht="11.1" customHeight="1">
      <c r="A57" s="114"/>
      <c r="B57" s="244" t="s">
        <v>1139</v>
      </c>
      <c r="C57" s="244"/>
      <c r="D57" s="243" t="s">
        <v>1152</v>
      </c>
      <c r="E57" s="243"/>
      <c r="F57" s="114"/>
      <c r="G57" s="115">
        <f>IF(AND($B$9=3,K57&gt;0),('Gemeenten met categorie'!K31),0)</f>
        <v>0</v>
      </c>
      <c r="H57" s="116" t="s">
        <v>1141</v>
      </c>
      <c r="I57" s="70" t="s">
        <v>1037</v>
      </c>
      <c r="J57" s="113" t="s">
        <v>1038</v>
      </c>
      <c r="K57" s="26" t="str">
        <f>IF(AND($B$9=3),('Gemeenten met categorie'!I31),"")</f>
        <v/>
      </c>
      <c r="L57" s="70" t="s">
        <v>1142</v>
      </c>
      <c r="M57" s="121" t="s">
        <v>1039</v>
      </c>
      <c r="N57" s="255" t="str">
        <f t="shared" si="1"/>
        <v/>
      </c>
      <c r="O57" s="255"/>
    </row>
    <row r="58" spans="1:15" s="83" customFormat="1" ht="11.1" customHeight="1">
      <c r="A58" s="114"/>
      <c r="B58" s="244" t="s">
        <v>1140</v>
      </c>
      <c r="C58" s="244"/>
      <c r="D58" s="243" t="s">
        <v>1151</v>
      </c>
      <c r="E58" s="243"/>
      <c r="F58" s="114"/>
      <c r="G58" s="115">
        <f>IF(AND($B$9&gt;1,$B$9&lt;4,K58&gt;0),('Gemeenten met categorie'!K24),0)</f>
        <v>0</v>
      </c>
      <c r="H58" s="116" t="s">
        <v>1141</v>
      </c>
      <c r="I58" s="70" t="s">
        <v>1037</v>
      </c>
      <c r="J58" s="113" t="s">
        <v>1038</v>
      </c>
      <c r="K58" s="26">
        <f>IF(AND($B$9&gt;1,$B$9&lt;4,$E$28&lt;=15),('Gemeenten met categorie'!I24),"")</f>
        <v>0</v>
      </c>
      <c r="L58" s="70" t="s">
        <v>1142</v>
      </c>
      <c r="M58" s="121" t="s">
        <v>1039</v>
      </c>
      <c r="N58" s="255" t="str">
        <f t="shared" si="1"/>
        <v/>
      </c>
      <c r="O58" s="255"/>
    </row>
    <row r="59" spans="1:15" s="83" customFormat="1" ht="11.1" customHeight="1">
      <c r="A59" s="114"/>
      <c r="B59" s="244" t="s">
        <v>1140</v>
      </c>
      <c r="C59" s="244"/>
      <c r="D59" s="243" t="s">
        <v>1152</v>
      </c>
      <c r="E59" s="243"/>
      <c r="F59" s="114"/>
      <c r="G59" s="115">
        <f>IF(AND($B$9&gt;1,$B$4,K59&gt;0),('Gemeenten met categorie'!K25),0)</f>
        <v>0</v>
      </c>
      <c r="H59" s="116" t="s">
        <v>1141</v>
      </c>
      <c r="I59" s="70" t="s">
        <v>1037</v>
      </c>
      <c r="J59" s="113" t="s">
        <v>1038</v>
      </c>
      <c r="K59" s="26" t="str">
        <f>IF(AND($B$9&gt;1,$B$9&lt;4,$E$28&gt;15),('Gemeenten met categorie'!I25),"")</f>
        <v/>
      </c>
      <c r="L59" s="70" t="s">
        <v>1142</v>
      </c>
      <c r="M59" s="121" t="s">
        <v>1039</v>
      </c>
      <c r="N59" s="255" t="str">
        <f t="shared" si="1"/>
        <v/>
      </c>
      <c r="O59" s="255"/>
    </row>
    <row r="60" spans="1:15" s="83" customFormat="1" ht="11.1" customHeight="1">
      <c r="A60" s="113"/>
      <c r="B60" s="244" t="s">
        <v>1136</v>
      </c>
      <c r="C60" s="244"/>
      <c r="D60" s="243" t="s">
        <v>1154</v>
      </c>
      <c r="E60" s="243"/>
      <c r="F60" s="114"/>
      <c r="G60" s="115">
        <f>IF(AND($B$9&gt;1,$B$9&lt;4,K60&gt;0),('Gemeenten met categorie'!K20),0)</f>
        <v>0</v>
      </c>
      <c r="H60" s="71" t="s">
        <v>1040</v>
      </c>
      <c r="I60" s="70" t="s">
        <v>1037</v>
      </c>
      <c r="J60" s="113" t="s">
        <v>1038</v>
      </c>
      <c r="K60" s="26">
        <f>IF(AND($B$9&gt;1,$B$9&lt;4,$E$28&lt;=15),('Gemeenten met categorie'!I20),"")</f>
        <v>0</v>
      </c>
      <c r="L60" s="117" t="s">
        <v>1158</v>
      </c>
      <c r="M60" s="121" t="s">
        <v>1039</v>
      </c>
      <c r="N60" s="255" t="str">
        <f t="shared" si="1"/>
        <v/>
      </c>
      <c r="O60" s="255"/>
    </row>
    <row r="61" spans="1:15" s="83" customFormat="1" ht="11.1" customHeight="1">
      <c r="A61" s="114"/>
      <c r="B61" s="244" t="s">
        <v>1136</v>
      </c>
      <c r="C61" s="244"/>
      <c r="D61" s="243" t="s">
        <v>1152</v>
      </c>
      <c r="E61" s="243"/>
      <c r="F61" s="114"/>
      <c r="G61" s="115">
        <f>IF(AND($B$9&gt;1,$B$9&lt;4,K61&gt;0),('Gemeenten met categorie'!K21),0)</f>
        <v>0</v>
      </c>
      <c r="H61" s="71" t="s">
        <v>1156</v>
      </c>
      <c r="I61" s="70" t="s">
        <v>1037</v>
      </c>
      <c r="J61" s="113" t="s">
        <v>1038</v>
      </c>
      <c r="K61" s="26" t="str">
        <f>IF(AND($B$9&gt;1,$B$9&lt;4,$E$28&gt;15),('Gemeenten met categorie'!I21),"")</f>
        <v/>
      </c>
      <c r="L61" s="70" t="s">
        <v>1157</v>
      </c>
      <c r="M61" s="121" t="s">
        <v>1039</v>
      </c>
      <c r="N61" s="255" t="str">
        <f t="shared" si="1"/>
        <v/>
      </c>
      <c r="O61" s="255"/>
    </row>
    <row r="62" spans="1:15" s="83" customFormat="1" ht="3" customHeight="1">
      <c r="A62" s="114"/>
      <c r="B62" s="316"/>
      <c r="C62" s="316"/>
      <c r="D62" s="120"/>
      <c r="E62" s="120"/>
      <c r="F62" s="114"/>
      <c r="G62" s="114"/>
      <c r="H62" s="112"/>
      <c r="I62" s="70"/>
      <c r="J62" s="113"/>
      <c r="K62" s="114"/>
      <c r="L62" s="112"/>
      <c r="M62" s="121"/>
      <c r="N62" s="114"/>
      <c r="O62" s="114"/>
    </row>
    <row r="63" spans="1:15" s="83" customFormat="1" ht="3" customHeight="1">
      <c r="A63" s="72"/>
      <c r="B63" s="72"/>
      <c r="C63" s="114"/>
      <c r="D63" s="73"/>
      <c r="E63" s="74"/>
      <c r="F63" s="114"/>
      <c r="G63" s="115"/>
      <c r="H63" s="70"/>
      <c r="I63" s="70"/>
      <c r="J63" s="113"/>
      <c r="K63" s="26"/>
      <c r="L63" s="70"/>
      <c r="M63" s="121"/>
      <c r="N63" s="255"/>
      <c r="O63" s="255"/>
    </row>
    <row r="64" spans="1:15" s="83" customFormat="1" ht="11.1" customHeight="1">
      <c r="A64" s="245" t="s">
        <v>331</v>
      </c>
      <c r="B64" s="244" t="s">
        <v>1143</v>
      </c>
      <c r="C64" s="244"/>
      <c r="D64" s="243" t="s">
        <v>1151</v>
      </c>
      <c r="E64" s="243"/>
      <c r="F64" s="114"/>
      <c r="G64" s="115">
        <f>IF(AND($B$9=4,K64&gt;0),('Gemeenten met categorie'!K34),0)</f>
        <v>0</v>
      </c>
      <c r="H64" s="116" t="s">
        <v>1141</v>
      </c>
      <c r="I64" s="70" t="s">
        <v>1037</v>
      </c>
      <c r="J64" s="113" t="s">
        <v>1038</v>
      </c>
      <c r="K64" s="26" t="str">
        <f>IF(AND($B$9=4,$H$28&gt;0,$H$28&lt;=15),('Gemeenten met categorie'!I34),"")</f>
        <v/>
      </c>
      <c r="L64" s="70" t="s">
        <v>1142</v>
      </c>
      <c r="M64" s="121" t="s">
        <v>1039</v>
      </c>
      <c r="N64" s="255" t="str">
        <f t="shared" ref="N64:N74" si="2">IF(AND(G64&gt;0,K64&gt;0),(G64*K64),"")</f>
        <v/>
      </c>
      <c r="O64" s="255"/>
    </row>
    <row r="65" spans="1:16" s="83" customFormat="1" ht="11.1" customHeight="1">
      <c r="A65" s="245"/>
      <c r="B65" s="244" t="s">
        <v>1143</v>
      </c>
      <c r="C65" s="244"/>
      <c r="D65" s="243" t="s">
        <v>1152</v>
      </c>
      <c r="E65" s="243"/>
      <c r="F65" s="114"/>
      <c r="G65" s="115">
        <f>IF(AND($B$9=4,K65&gt;0),('Gemeenten met categorie'!K35),0)</f>
        <v>0</v>
      </c>
      <c r="H65" s="116" t="s">
        <v>1141</v>
      </c>
      <c r="I65" s="70" t="s">
        <v>1037</v>
      </c>
      <c r="J65" s="113" t="s">
        <v>1038</v>
      </c>
      <c r="K65" s="26" t="str">
        <f>IF(AND($B$9=4,$H$28&gt;15),('Gemeenten met categorie'!I35),"")</f>
        <v/>
      </c>
      <c r="L65" s="70" t="s">
        <v>1142</v>
      </c>
      <c r="M65" s="121" t="s">
        <v>1039</v>
      </c>
      <c r="N65" s="255" t="str">
        <f t="shared" si="2"/>
        <v/>
      </c>
      <c r="O65" s="255"/>
    </row>
    <row r="66" spans="1:16" s="83" customFormat="1" ht="11.1" customHeight="1">
      <c r="A66" s="72"/>
      <c r="B66" s="244" t="s">
        <v>1144</v>
      </c>
      <c r="C66" s="244"/>
      <c r="D66" s="243" t="s">
        <v>1151</v>
      </c>
      <c r="E66" s="243"/>
      <c r="F66" s="114"/>
      <c r="G66" s="115">
        <f>IF(AND($B$9=4,K66&gt;0),('Gemeenten met categorie'!K36),0)</f>
        <v>0</v>
      </c>
      <c r="H66" s="116" t="s">
        <v>1141</v>
      </c>
      <c r="I66" s="70" t="s">
        <v>1037</v>
      </c>
      <c r="J66" s="113" t="s">
        <v>1038</v>
      </c>
      <c r="K66" s="26" t="str">
        <f>IF(AND($B$9=4,$E$28&gt;0,$E$28&lt;=15),('Gemeenten met categorie'!I36),"")</f>
        <v/>
      </c>
      <c r="L66" s="70" t="s">
        <v>1142</v>
      </c>
      <c r="M66" s="121" t="s">
        <v>1039</v>
      </c>
      <c r="N66" s="255" t="str">
        <f t="shared" si="2"/>
        <v/>
      </c>
      <c r="O66" s="255"/>
    </row>
    <row r="67" spans="1:16" s="83" customFormat="1" ht="11.1" customHeight="1">
      <c r="A67" s="72"/>
      <c r="B67" s="244" t="s">
        <v>1144</v>
      </c>
      <c r="C67" s="244"/>
      <c r="D67" s="243" t="s">
        <v>1152</v>
      </c>
      <c r="E67" s="243"/>
      <c r="F67" s="114"/>
      <c r="G67" s="115">
        <f>IF(AND($B$9=4,K67&gt;0),('Gemeenten met categorie'!K37),0)</f>
        <v>0</v>
      </c>
      <c r="H67" s="116" t="s">
        <v>1141</v>
      </c>
      <c r="I67" s="70" t="s">
        <v>1037</v>
      </c>
      <c r="J67" s="113" t="s">
        <v>1038</v>
      </c>
      <c r="K67" s="26" t="str">
        <f>IF(AND($B$9=4,$E$28&gt;15),('Gemeenten met categorie'!I37),"")</f>
        <v/>
      </c>
      <c r="L67" s="70" t="s">
        <v>1142</v>
      </c>
      <c r="M67" s="121" t="s">
        <v>1039</v>
      </c>
      <c r="N67" s="255" t="str">
        <f t="shared" si="2"/>
        <v/>
      </c>
      <c r="O67" s="255"/>
    </row>
    <row r="68" spans="1:16" s="83" customFormat="1" ht="6" customHeight="1">
      <c r="A68" s="72"/>
      <c r="B68" s="72"/>
      <c r="C68" s="114"/>
      <c r="D68" s="73"/>
      <c r="E68" s="74"/>
      <c r="F68" s="114"/>
      <c r="G68" s="115"/>
      <c r="H68" s="70"/>
      <c r="I68" s="70"/>
      <c r="J68" s="113"/>
      <c r="K68" s="26"/>
      <c r="L68" s="70"/>
      <c r="M68" s="121"/>
      <c r="N68" s="255"/>
      <c r="O68" s="255"/>
    </row>
    <row r="69" spans="1:16" s="83" customFormat="1" ht="11.1" customHeight="1">
      <c r="A69" s="245" t="s">
        <v>332</v>
      </c>
      <c r="B69" s="244" t="s">
        <v>1146</v>
      </c>
      <c r="C69" s="244"/>
      <c r="D69" s="243" t="s">
        <v>1042</v>
      </c>
      <c r="E69" s="243"/>
      <c r="F69" s="114"/>
      <c r="G69" s="115">
        <f>IF(AND($B$9&gt;0,$B$9&lt;5,K69&gt;0),('Gemeenten met categorie'!K40),"")</f>
        <v>0</v>
      </c>
      <c r="H69" s="71" t="s">
        <v>1156</v>
      </c>
      <c r="I69" s="70" t="s">
        <v>1037</v>
      </c>
      <c r="J69" s="113" t="s">
        <v>1038</v>
      </c>
      <c r="K69" s="26" t="str">
        <f>IF(AND($B$9&gt;=1,$I$28&gt;=1),('Gemeenten met categorie'!I40),"")</f>
        <v/>
      </c>
      <c r="L69" s="70" t="s">
        <v>1157</v>
      </c>
      <c r="M69" s="121" t="s">
        <v>1039</v>
      </c>
      <c r="N69" s="255" t="str">
        <f t="shared" si="2"/>
        <v/>
      </c>
      <c r="O69" s="255"/>
    </row>
    <row r="70" spans="1:16" s="83" customFormat="1" ht="11.1" customHeight="1">
      <c r="A70" s="245"/>
      <c r="B70" s="244" t="s">
        <v>1147</v>
      </c>
      <c r="C70" s="244"/>
      <c r="D70" s="243" t="s">
        <v>1042</v>
      </c>
      <c r="E70" s="243"/>
      <c r="F70" s="114"/>
      <c r="G70" s="115">
        <f>IF(AND($B$9&gt;0,$B$9&lt;5,K70&gt;0),('Gemeenten met categorie'!K41),"")</f>
        <v>0</v>
      </c>
      <c r="H70" s="71" t="s">
        <v>1156</v>
      </c>
      <c r="I70" s="70" t="s">
        <v>1037</v>
      </c>
      <c r="J70" s="113" t="s">
        <v>1038</v>
      </c>
      <c r="K70" s="26" t="str">
        <f>IF(AND($B$9&gt;=1,$K$28&gt;=1),('Gemeenten met categorie'!I41),"")</f>
        <v/>
      </c>
      <c r="L70" s="70" t="s">
        <v>1157</v>
      </c>
      <c r="M70" s="121" t="s">
        <v>1039</v>
      </c>
      <c r="N70" s="255" t="str">
        <f t="shared" si="2"/>
        <v/>
      </c>
      <c r="O70" s="255"/>
    </row>
    <row r="71" spans="1:16" s="83" customFormat="1" ht="11.1" customHeight="1">
      <c r="A71" s="114"/>
      <c r="B71" s="244" t="s">
        <v>1145</v>
      </c>
      <c r="C71" s="244"/>
      <c r="D71" s="243" t="s">
        <v>285</v>
      </c>
      <c r="E71" s="243"/>
      <c r="F71" s="114"/>
      <c r="G71" s="115">
        <f>IF(AND($B$9&gt;0,$B$9&lt;5,$E$33&gt;0),('Gemeenten met categorie'!K42),0)</f>
        <v>0</v>
      </c>
      <c r="H71" s="71" t="s">
        <v>1040</v>
      </c>
      <c r="I71" s="70" t="s">
        <v>1037</v>
      </c>
      <c r="J71" s="113" t="s">
        <v>1038</v>
      </c>
      <c r="K71" s="26" t="str">
        <f>IF(AND($B$9&gt;=1,$E$33&gt;=1),('Gemeenten met categorie'!I42),"")</f>
        <v/>
      </c>
      <c r="L71" s="117" t="s">
        <v>1158</v>
      </c>
      <c r="M71" s="121" t="s">
        <v>1039</v>
      </c>
      <c r="N71" s="255" t="str">
        <f t="shared" si="2"/>
        <v/>
      </c>
      <c r="O71" s="255"/>
    </row>
    <row r="72" spans="1:16" s="83" customFormat="1" ht="11.1" customHeight="1">
      <c r="A72" s="114"/>
      <c r="B72" s="244" t="s">
        <v>1145</v>
      </c>
      <c r="C72" s="244"/>
      <c r="D72" s="243" t="s">
        <v>1155</v>
      </c>
      <c r="E72" s="243"/>
      <c r="F72" s="114"/>
      <c r="G72" s="115">
        <f>IF(AND($B$9&gt;0,$B$9&lt;5,E33&gt;0),('Gemeenten met categorie'!K43),0)</f>
        <v>0</v>
      </c>
      <c r="H72" s="116" t="s">
        <v>1141</v>
      </c>
      <c r="I72" s="70" t="s">
        <v>1037</v>
      </c>
      <c r="J72" s="113" t="s">
        <v>1038</v>
      </c>
      <c r="K72" s="26" t="str">
        <f>IF(AND($B$9&gt;=1,$E$33&gt;=1),('Gemeenten met categorie'!I43),"")</f>
        <v/>
      </c>
      <c r="L72" s="70" t="s">
        <v>1142</v>
      </c>
      <c r="M72" s="121" t="s">
        <v>1039</v>
      </c>
      <c r="N72" s="255" t="str">
        <f t="shared" si="2"/>
        <v/>
      </c>
      <c r="O72" s="255"/>
    </row>
    <row r="73" spans="1:16" s="83" customFormat="1" ht="11.1" customHeight="1">
      <c r="A73" s="114"/>
      <c r="B73" s="244" t="s">
        <v>1148</v>
      </c>
      <c r="C73" s="244"/>
      <c r="D73" s="243" t="s">
        <v>1159</v>
      </c>
      <c r="E73" s="243"/>
      <c r="F73" s="114"/>
      <c r="G73" s="123">
        <f>G31</f>
        <v>0</v>
      </c>
      <c r="H73" s="71" t="s">
        <v>1043</v>
      </c>
      <c r="I73" s="70" t="s">
        <v>1037</v>
      </c>
      <c r="J73" s="113" t="s">
        <v>1038</v>
      </c>
      <c r="K73" s="26" t="str">
        <f>IF(AND($B$9&gt;=1,$G$31&gt;=1),('Gemeenten met categorie'!I44),"")</f>
        <v/>
      </c>
      <c r="L73" s="70" t="s">
        <v>1159</v>
      </c>
      <c r="M73" s="121" t="s">
        <v>1039</v>
      </c>
      <c r="N73" s="255" t="str">
        <f>IF(AND(G73&gt;1,K73&gt;1),G73*K73,"")</f>
        <v/>
      </c>
      <c r="O73" s="255"/>
    </row>
    <row r="74" spans="1:16" s="83" customFormat="1" ht="11.1" customHeight="1">
      <c r="A74" s="114"/>
      <c r="B74" s="244" t="s">
        <v>1149</v>
      </c>
      <c r="C74" s="244"/>
      <c r="D74" s="243" t="s">
        <v>1159</v>
      </c>
      <c r="E74" s="243"/>
      <c r="F74" s="114"/>
      <c r="G74" s="123">
        <f>G32</f>
        <v>0</v>
      </c>
      <c r="H74" s="71" t="s">
        <v>1043</v>
      </c>
      <c r="I74" s="70" t="s">
        <v>1037</v>
      </c>
      <c r="J74" s="113" t="s">
        <v>1038</v>
      </c>
      <c r="K74" s="26" t="str">
        <f>IF(AND($B$9&gt;=1,$G$32&gt;=1),('Gemeenten met categorie'!I45),"")</f>
        <v/>
      </c>
      <c r="L74" s="70" t="s">
        <v>1159</v>
      </c>
      <c r="M74" s="121" t="s">
        <v>1039</v>
      </c>
      <c r="N74" s="255" t="str">
        <f t="shared" si="2"/>
        <v/>
      </c>
      <c r="O74" s="255"/>
    </row>
    <row r="75" spans="1:16" s="83" customFormat="1" ht="11.1" customHeight="1">
      <c r="A75" s="114"/>
      <c r="B75" s="244" t="s">
        <v>1150</v>
      </c>
      <c r="C75" s="244"/>
      <c r="D75" s="243" t="s">
        <v>1142</v>
      </c>
      <c r="E75" s="243"/>
      <c r="F75" s="114"/>
      <c r="G75" s="115">
        <f>IF(AND($B$9&gt;=1,$B$9&lt;=4,K75&gt;0),('Gemeenten met categorie'!K46),0)</f>
        <v>0</v>
      </c>
      <c r="H75" s="116" t="s">
        <v>1141</v>
      </c>
      <c r="I75" s="70" t="s">
        <v>1037</v>
      </c>
      <c r="J75" s="113" t="s">
        <v>1038</v>
      </c>
      <c r="K75" s="26" t="str">
        <f>IF(AND($B$9&gt;=1,$K$31&gt;=1),('Gemeenten met categorie'!I46),"")</f>
        <v/>
      </c>
      <c r="L75" s="70" t="s">
        <v>1142</v>
      </c>
      <c r="M75" s="121" t="s">
        <v>1039</v>
      </c>
      <c r="N75" s="255" t="str">
        <f>IF(AND(G75&gt;1,K75&gt;0.1),(G75*K75),"")</f>
        <v/>
      </c>
      <c r="O75" s="255"/>
    </row>
    <row r="76" spans="1:16" s="83" customFormat="1" ht="11.1" customHeight="1">
      <c r="A76" s="114"/>
      <c r="B76" s="244" t="s">
        <v>1150</v>
      </c>
      <c r="C76" s="244"/>
      <c r="D76" s="243" t="s">
        <v>1142</v>
      </c>
      <c r="E76" s="243"/>
      <c r="F76" s="114"/>
      <c r="G76" s="115">
        <f>IF(AND($B$9&gt;=1,$B$9&lt;=4,K76&gt;0),('Gemeenten met categorie'!K47),0)</f>
        <v>0</v>
      </c>
      <c r="H76" s="116" t="s">
        <v>1141</v>
      </c>
      <c r="I76" s="70" t="s">
        <v>1037</v>
      </c>
      <c r="J76" s="113" t="s">
        <v>1038</v>
      </c>
      <c r="K76" s="26" t="str">
        <f>IF(AND($B$9&gt;=1,$K$32&gt;=1),('Gemeenten met categorie'!I47),"")</f>
        <v/>
      </c>
      <c r="L76" s="70" t="s">
        <v>1142</v>
      </c>
      <c r="M76" s="121" t="s">
        <v>1039</v>
      </c>
      <c r="N76" s="313" t="str">
        <f>IF(AND(G76&gt;1,K76&gt;0.1),(G76*K76),"")</f>
        <v/>
      </c>
      <c r="O76" s="313"/>
    </row>
    <row r="77" spans="1:16" s="83" customFormat="1" ht="9.75" customHeight="1" thickBot="1">
      <c r="A77" s="75"/>
      <c r="B77" s="75"/>
      <c r="C77" s="75"/>
      <c r="D77" s="75"/>
      <c r="E77" s="75"/>
      <c r="F77" s="76"/>
      <c r="G77" s="77"/>
      <c r="H77" s="75"/>
      <c r="I77" s="78"/>
      <c r="J77" s="79"/>
      <c r="K77" s="79"/>
      <c r="L77" s="314" t="s">
        <v>523</v>
      </c>
      <c r="M77" s="314"/>
      <c r="N77" s="315">
        <f>SUM(N35:N76)</f>
        <v>0</v>
      </c>
      <c r="O77" s="315"/>
      <c r="P77" s="106"/>
    </row>
    <row r="78" spans="1:16" s="83" customFormat="1" ht="11.1" customHeight="1" thickTop="1">
      <c r="A78" s="114"/>
      <c r="B78" s="114"/>
      <c r="C78" s="114"/>
      <c r="D78" s="114"/>
      <c r="E78" s="114"/>
      <c r="F78" s="114"/>
      <c r="G78" s="113"/>
      <c r="H78" s="114"/>
      <c r="I78" s="114"/>
      <c r="J78" s="114"/>
      <c r="K78" s="114"/>
      <c r="L78" s="114"/>
      <c r="M78" s="114"/>
      <c r="N78" s="114"/>
      <c r="O78" s="114"/>
    </row>
    <row r="79" spans="1:16" s="83" customFormat="1" ht="11.1" customHeight="1">
      <c r="A79" s="114" t="s">
        <v>1044</v>
      </c>
      <c r="B79" s="114"/>
      <c r="C79" s="312" t="str">
        <f>N3</f>
        <v>…………………..</v>
      </c>
      <c r="D79" s="312"/>
      <c r="E79" s="122" t="s">
        <v>1045</v>
      </c>
      <c r="F79" s="312"/>
      <c r="G79" s="312"/>
      <c r="H79" s="114"/>
      <c r="I79" s="114" t="s">
        <v>1127</v>
      </c>
      <c r="J79" s="114"/>
      <c r="K79" s="114"/>
      <c r="L79" s="114"/>
      <c r="M79" s="114"/>
      <c r="N79" s="114"/>
      <c r="O79" s="114"/>
    </row>
    <row r="80" spans="1:16" s="83" customFormat="1" ht="4.5" customHeight="1">
      <c r="E80" s="124"/>
    </row>
    <row r="81" spans="1:14" s="83" customFormat="1" ht="12.75" customHeight="1">
      <c r="A81" s="125" t="s">
        <v>111</v>
      </c>
      <c r="B81" s="230" t="s">
        <v>112</v>
      </c>
      <c r="C81" s="231"/>
      <c r="D81" s="231"/>
      <c r="E81" s="231"/>
      <c r="F81" s="231"/>
      <c r="G81" s="231"/>
      <c r="H81" s="231"/>
      <c r="I81" s="231"/>
      <c r="J81" s="231"/>
      <c r="K81" s="231"/>
      <c r="L81" s="231"/>
    </row>
    <row r="82" spans="1:14" s="83" customFormat="1" ht="15">
      <c r="B82" s="125"/>
      <c r="N82" s="26">
        <f>IF(AND($B$9&gt;1,$B$9&lt;4,$E$28&lt;=15),('Gemeenten met categorie'!L41),"")</f>
        <v>0</v>
      </c>
    </row>
    <row r="83" spans="1:14" s="83" customFormat="1"/>
    <row r="84" spans="1:14" s="83" customFormat="1"/>
    <row r="85" spans="1:14" s="83" customFormat="1"/>
    <row r="86" spans="1:14" s="83" customFormat="1"/>
    <row r="87" spans="1:14" s="83" customFormat="1"/>
    <row r="88" spans="1:14" s="83" customFormat="1"/>
    <row r="89" spans="1:14" s="83" customFormat="1"/>
    <row r="90" spans="1:14" s="83" customFormat="1"/>
    <row r="91" spans="1:14" s="83" customFormat="1"/>
    <row r="92" spans="1:14" s="83" customFormat="1"/>
    <row r="93" spans="1:14" s="83" customFormat="1"/>
    <row r="94" spans="1:14" s="83" customFormat="1"/>
    <row r="95" spans="1:14" s="83" customFormat="1"/>
    <row r="96" spans="1:14" s="83" customFormat="1"/>
    <row r="97" s="83" customFormat="1"/>
    <row r="98" s="83" customFormat="1"/>
    <row r="99" s="83" customFormat="1"/>
    <row r="100" s="83" customFormat="1"/>
    <row r="101" s="83" customFormat="1"/>
    <row r="102" s="83" customFormat="1"/>
    <row r="103" s="83" customFormat="1"/>
    <row r="104" s="83" customFormat="1"/>
    <row r="105" s="83" customFormat="1"/>
    <row r="106" s="83" customFormat="1"/>
    <row r="107" s="83" customFormat="1"/>
    <row r="108" s="83" customFormat="1"/>
    <row r="109" s="83" customFormat="1"/>
    <row r="110" s="83" customFormat="1"/>
    <row r="111" s="83" customFormat="1"/>
    <row r="112" s="83" customFormat="1"/>
    <row r="113" s="83" customFormat="1"/>
    <row r="114" s="83" customFormat="1"/>
    <row r="115" s="83" customFormat="1"/>
    <row r="116" s="83" customFormat="1"/>
    <row r="117" s="83" customFormat="1"/>
    <row r="118" s="83" customFormat="1"/>
    <row r="119" s="83" customFormat="1"/>
    <row r="120" s="83" customFormat="1"/>
    <row r="121" s="83" customFormat="1"/>
    <row r="122" s="83" customFormat="1"/>
    <row r="123" s="83" customFormat="1"/>
    <row r="124" s="83" customFormat="1"/>
    <row r="125" s="83" customFormat="1"/>
    <row r="126" s="83" customFormat="1"/>
    <row r="127" s="83" customFormat="1"/>
    <row r="128" s="83" customFormat="1"/>
    <row r="129" s="83" customFormat="1"/>
    <row r="130" s="83" customFormat="1"/>
    <row r="131" s="83" customFormat="1"/>
    <row r="132" s="83" customFormat="1"/>
    <row r="133" s="83" customFormat="1"/>
    <row r="134" s="83" customFormat="1"/>
    <row r="135" s="83" customFormat="1"/>
    <row r="136" s="83" customFormat="1"/>
    <row r="137" s="83" customFormat="1"/>
    <row r="138" s="83" customFormat="1"/>
    <row r="139" s="83" customFormat="1"/>
    <row r="140" s="83" customFormat="1"/>
    <row r="141" s="83" customFormat="1"/>
    <row r="142" s="83" customFormat="1"/>
    <row r="143" s="83" customFormat="1"/>
    <row r="144" s="83" customFormat="1"/>
    <row r="145" s="83" customFormat="1"/>
    <row r="146" s="83" customFormat="1"/>
    <row r="147" s="83" customFormat="1"/>
    <row r="148" s="83" customFormat="1"/>
    <row r="149" s="83" customFormat="1"/>
    <row r="150" s="83" customFormat="1"/>
    <row r="151" s="83" customFormat="1"/>
    <row r="152" s="83" customFormat="1"/>
    <row r="153" s="83" customFormat="1"/>
    <row r="154" s="83" customFormat="1"/>
    <row r="155" s="83" customFormat="1"/>
    <row r="156" s="83" customFormat="1"/>
    <row r="157" s="83" customFormat="1"/>
    <row r="158" s="83" customFormat="1"/>
    <row r="159" s="83" customFormat="1"/>
    <row r="160" s="83" customFormat="1"/>
    <row r="161" s="83" customFormat="1"/>
    <row r="162" s="83" customFormat="1"/>
    <row r="163" s="83" customFormat="1"/>
    <row r="164" s="83" customFormat="1"/>
    <row r="165" s="83" customFormat="1"/>
    <row r="166" s="83" customFormat="1"/>
    <row r="167" s="83" customFormat="1"/>
    <row r="168" s="83" customFormat="1"/>
    <row r="169" s="83" customFormat="1"/>
    <row r="170" s="83" customFormat="1"/>
    <row r="171" s="83" customFormat="1"/>
    <row r="172" s="83" customFormat="1"/>
    <row r="173" s="83" customFormat="1"/>
    <row r="174" s="83" customFormat="1"/>
    <row r="175" s="83" customFormat="1"/>
    <row r="176" s="83" customFormat="1"/>
    <row r="177" s="83" customFormat="1"/>
    <row r="178" s="83" customFormat="1"/>
    <row r="179" s="83" customFormat="1"/>
    <row r="180" s="83" customFormat="1"/>
    <row r="181" s="83" customFormat="1"/>
    <row r="182" s="83" customFormat="1"/>
    <row r="183" s="83" customFormat="1"/>
    <row r="184" s="83" customFormat="1"/>
    <row r="185" s="83" customFormat="1"/>
    <row r="186" s="83" customFormat="1"/>
    <row r="187" s="83" customFormat="1"/>
    <row r="188" s="83" customFormat="1"/>
    <row r="189" s="83" customFormat="1"/>
    <row r="190" s="83" customFormat="1"/>
    <row r="191" s="83" customFormat="1"/>
    <row r="192" s="83" customFormat="1"/>
    <row r="193" s="83" customFormat="1"/>
    <row r="194" s="83" customFormat="1"/>
    <row r="195" s="83" customFormat="1"/>
    <row r="196" s="83" customFormat="1"/>
    <row r="197" s="83" customFormat="1"/>
    <row r="198" s="83" customFormat="1"/>
    <row r="199" s="83" customFormat="1"/>
    <row r="200" s="83" customFormat="1"/>
    <row r="201" s="83" customFormat="1"/>
    <row r="202" s="83" customFormat="1"/>
    <row r="203" s="83" customFormat="1"/>
    <row r="204" s="83" customFormat="1"/>
    <row r="205" s="83" customFormat="1"/>
    <row r="206" s="83" customFormat="1"/>
    <row r="207" s="83" customFormat="1"/>
    <row r="208" s="83" customFormat="1"/>
    <row r="209" s="83" customFormat="1"/>
    <row r="210" s="83" customFormat="1"/>
    <row r="211" s="83" customFormat="1"/>
    <row r="212" s="83" customFormat="1"/>
    <row r="213" s="83" customFormat="1"/>
    <row r="214" s="83" customFormat="1"/>
    <row r="215" s="83" customFormat="1"/>
    <row r="216" s="83" customFormat="1"/>
    <row r="217" s="83" customFormat="1"/>
    <row r="218" s="83" customFormat="1"/>
    <row r="219" s="83" customFormat="1"/>
    <row r="220" s="83" customFormat="1"/>
    <row r="221" s="83" customFormat="1"/>
    <row r="222" s="83" customFormat="1"/>
    <row r="223" s="83" customFormat="1"/>
    <row r="224" s="83" customFormat="1"/>
    <row r="225" s="83" customFormat="1"/>
    <row r="226" s="83" customFormat="1"/>
    <row r="227" s="83" customFormat="1"/>
    <row r="228" s="83" customFormat="1"/>
    <row r="229" s="83" customFormat="1"/>
    <row r="230" s="83" customFormat="1"/>
    <row r="231" s="83" customFormat="1"/>
    <row r="232" s="83" customFormat="1"/>
    <row r="233" s="83" customFormat="1"/>
    <row r="234" s="83" customFormat="1"/>
    <row r="235" s="83" customFormat="1"/>
    <row r="236" s="83" customFormat="1"/>
    <row r="237" s="83" customFormat="1"/>
    <row r="238" s="83" customFormat="1"/>
    <row r="239" s="83" customFormat="1"/>
    <row r="240" s="83" customFormat="1"/>
    <row r="241" s="83" customFormat="1"/>
    <row r="242" s="83" customFormat="1"/>
    <row r="243" s="83" customFormat="1"/>
    <row r="244" s="83" customFormat="1"/>
    <row r="245" s="83" customFormat="1"/>
    <row r="246" s="83" customFormat="1"/>
    <row r="247" s="83" customFormat="1"/>
    <row r="248" s="83" customFormat="1"/>
    <row r="249" s="83" customFormat="1"/>
    <row r="250" s="83" customFormat="1"/>
    <row r="251" s="83" customFormat="1"/>
    <row r="252" s="83" customFormat="1"/>
    <row r="253" s="83" customFormat="1"/>
    <row r="254" s="83" customFormat="1"/>
    <row r="255" s="83" customFormat="1"/>
    <row r="256" s="83" customFormat="1"/>
    <row r="257" s="83" customFormat="1"/>
    <row r="258" s="83" customFormat="1"/>
    <row r="259" s="83" customFormat="1"/>
    <row r="260" s="83" customFormat="1"/>
    <row r="261" s="83" customFormat="1"/>
    <row r="262" s="83" customFormat="1"/>
    <row r="263" s="83" customFormat="1"/>
    <row r="264" s="83" customFormat="1"/>
    <row r="265" s="83" customFormat="1"/>
    <row r="266" s="83" customFormat="1"/>
    <row r="267" s="83" customFormat="1"/>
    <row r="268" s="83" customFormat="1"/>
    <row r="269" s="83" customFormat="1"/>
    <row r="270" s="83" customFormat="1"/>
    <row r="271" s="83" customFormat="1"/>
    <row r="272" s="83" customFormat="1"/>
    <row r="273" s="83" customFormat="1"/>
    <row r="274" s="83" customFormat="1"/>
    <row r="275" s="83" customFormat="1"/>
    <row r="276" s="83" customFormat="1"/>
    <row r="277" s="83" customFormat="1"/>
    <row r="278" s="83" customFormat="1"/>
    <row r="279" s="83" customFormat="1"/>
    <row r="280" s="83" customFormat="1"/>
    <row r="281" s="83" customFormat="1"/>
    <row r="282" s="83" customFormat="1"/>
    <row r="283" s="83" customFormat="1"/>
    <row r="284" s="83" customFormat="1"/>
    <row r="285" s="83" customFormat="1"/>
    <row r="286" s="83" customFormat="1"/>
    <row r="287" s="83" customFormat="1"/>
    <row r="288" s="83" customFormat="1"/>
    <row r="289" s="83" customFormat="1"/>
    <row r="290" s="83" customFormat="1"/>
    <row r="291" s="83" customFormat="1"/>
    <row r="292" s="83" customFormat="1"/>
    <row r="293" s="83" customFormat="1"/>
    <row r="294" s="83" customFormat="1"/>
    <row r="295" s="83" customFormat="1"/>
    <row r="296" s="83" customFormat="1"/>
    <row r="297" s="83" customFormat="1"/>
    <row r="298" s="83" customFormat="1"/>
    <row r="299" s="83" customFormat="1"/>
    <row r="300" s="83" customFormat="1"/>
    <row r="301" s="83" customFormat="1"/>
    <row r="302" s="83" customFormat="1"/>
    <row r="303" s="83" customFormat="1"/>
    <row r="304" s="83" customFormat="1"/>
    <row r="305" s="83" customFormat="1"/>
    <row r="306" s="83" customFormat="1"/>
    <row r="307" s="83" customFormat="1"/>
    <row r="308" s="83" customFormat="1"/>
    <row r="309" s="83" customFormat="1"/>
    <row r="310" s="83" customFormat="1"/>
    <row r="311" s="83" customFormat="1"/>
    <row r="312" s="83" customFormat="1"/>
    <row r="313" s="83" customFormat="1"/>
    <row r="314" s="83" customFormat="1"/>
    <row r="315" s="83" customFormat="1"/>
    <row r="316" s="83" customFormat="1"/>
    <row r="317" s="83" customFormat="1"/>
    <row r="318" s="83" customFormat="1"/>
    <row r="319" s="83" customFormat="1"/>
    <row r="320" s="83" customFormat="1"/>
    <row r="321" s="83" customFormat="1"/>
    <row r="322" s="83" customFormat="1"/>
    <row r="323" s="83" customFormat="1"/>
    <row r="324" s="83" customFormat="1"/>
    <row r="325" s="83" customFormat="1"/>
    <row r="326" s="83" customFormat="1"/>
    <row r="327" s="83" customFormat="1"/>
    <row r="328" s="83" customFormat="1"/>
    <row r="329" s="83" customFormat="1"/>
    <row r="330" s="83" customFormat="1"/>
    <row r="331" s="83" customFormat="1"/>
    <row r="332" s="83" customFormat="1"/>
    <row r="333" s="83" customFormat="1"/>
    <row r="334" s="83" customFormat="1"/>
    <row r="335" s="83" customFormat="1"/>
    <row r="336" s="83" customFormat="1"/>
    <row r="337" s="83" customFormat="1"/>
    <row r="338" s="83" customFormat="1"/>
    <row r="339" s="83" customFormat="1"/>
    <row r="340" s="83" customFormat="1"/>
    <row r="341" s="83" customFormat="1"/>
    <row r="342" s="83" customFormat="1"/>
    <row r="343" s="83" customFormat="1"/>
    <row r="344" s="83" customFormat="1"/>
    <row r="345" s="83" customFormat="1"/>
    <row r="346" s="83" customFormat="1"/>
    <row r="347" s="83" customFormat="1"/>
    <row r="348" s="83" customFormat="1"/>
    <row r="349" s="83" customFormat="1"/>
    <row r="350" s="83" customFormat="1"/>
    <row r="351" s="83" customFormat="1"/>
    <row r="352" s="83" customFormat="1"/>
    <row r="353" s="83" customFormat="1"/>
    <row r="354" s="83" customFormat="1"/>
    <row r="355" s="83" customFormat="1"/>
    <row r="356" s="83" customFormat="1"/>
    <row r="357" s="83" customFormat="1"/>
    <row r="358" s="83" customFormat="1"/>
    <row r="359" s="83" customFormat="1"/>
    <row r="360" s="83" customFormat="1"/>
    <row r="361" s="83" customFormat="1"/>
    <row r="362" s="83" customFormat="1"/>
    <row r="363" s="83" customFormat="1"/>
    <row r="364" s="83" customFormat="1"/>
    <row r="365" s="83" customFormat="1"/>
    <row r="366" s="83" customFormat="1"/>
    <row r="367" s="83" customFormat="1"/>
    <row r="368" s="83" customFormat="1"/>
    <row r="369" s="83" customFormat="1"/>
    <row r="370" s="83" customFormat="1"/>
    <row r="371" s="83" customFormat="1"/>
    <row r="372" s="83" customFormat="1"/>
    <row r="373" s="83" customFormat="1"/>
    <row r="374" s="83" customFormat="1"/>
    <row r="375" s="83" customFormat="1"/>
    <row r="376" s="83" customFormat="1"/>
    <row r="377" s="83" customFormat="1"/>
    <row r="378" s="83" customFormat="1"/>
    <row r="379" s="83" customFormat="1"/>
    <row r="380" s="83" customFormat="1"/>
    <row r="381" s="83" customFormat="1"/>
    <row r="382" s="83" customFormat="1"/>
    <row r="383" s="83" customFormat="1"/>
    <row r="384" s="83" customFormat="1"/>
    <row r="385" s="83" customFormat="1"/>
    <row r="386" s="83" customFormat="1"/>
    <row r="387" s="83" customFormat="1"/>
    <row r="388" s="83" customFormat="1"/>
    <row r="389" s="83" customFormat="1"/>
    <row r="390" s="83" customFormat="1"/>
    <row r="391" s="83" customFormat="1"/>
    <row r="392" s="83" customFormat="1"/>
    <row r="393" s="83" customFormat="1"/>
    <row r="394" s="83" customFormat="1"/>
    <row r="395" s="83" customFormat="1"/>
    <row r="396" s="83" customFormat="1"/>
    <row r="397" s="83" customFormat="1"/>
    <row r="398" s="83" customFormat="1"/>
    <row r="399" s="83" customFormat="1"/>
    <row r="400" s="83" customFormat="1"/>
    <row r="401" s="83" customFormat="1"/>
    <row r="402" s="83" customFormat="1"/>
    <row r="403" s="83" customFormat="1"/>
    <row r="404" s="83" customFormat="1"/>
    <row r="405" s="83" customFormat="1"/>
    <row r="406" s="83" customFormat="1"/>
    <row r="407" s="83" customFormat="1"/>
    <row r="408" s="83" customFormat="1"/>
    <row r="409" s="83" customFormat="1"/>
    <row r="410" s="83" customFormat="1"/>
    <row r="411" s="83" customFormat="1"/>
    <row r="412" s="83" customFormat="1"/>
    <row r="413" s="83" customFormat="1"/>
    <row r="414" s="83" customFormat="1"/>
    <row r="415" s="83" customFormat="1"/>
    <row r="416" s="83" customFormat="1"/>
    <row r="417" s="83" customFormat="1"/>
    <row r="418" s="83" customFormat="1"/>
    <row r="419" s="83" customFormat="1"/>
    <row r="420" s="83" customFormat="1"/>
    <row r="421" s="83" customFormat="1"/>
    <row r="422" s="83" customFormat="1"/>
    <row r="423" s="83" customFormat="1"/>
    <row r="424" s="83" customFormat="1"/>
    <row r="425" s="83" customFormat="1"/>
    <row r="426" s="83" customFormat="1"/>
    <row r="427" s="83" customFormat="1"/>
    <row r="428" s="83" customFormat="1"/>
    <row r="429" s="83" customFormat="1"/>
    <row r="430" s="83" customFormat="1"/>
    <row r="431" s="83" customFormat="1"/>
    <row r="432" s="83" customFormat="1"/>
    <row r="433" s="83" customFormat="1"/>
    <row r="434" s="83" customFormat="1"/>
    <row r="435" s="83" customFormat="1"/>
    <row r="436" s="83" customFormat="1"/>
    <row r="437" s="83" customFormat="1"/>
    <row r="438" s="83" customFormat="1"/>
    <row r="439" s="83" customFormat="1"/>
    <row r="440" s="83" customFormat="1"/>
    <row r="441" s="83" customFormat="1"/>
    <row r="442" s="83" customFormat="1"/>
    <row r="443" s="83" customFormat="1"/>
    <row r="444" s="83" customFormat="1"/>
    <row r="445" s="83" customFormat="1"/>
    <row r="446" s="83" customFormat="1"/>
    <row r="447" s="83" customFormat="1"/>
    <row r="448" s="83" customFormat="1"/>
    <row r="449" s="83" customFormat="1"/>
    <row r="450" s="83" customFormat="1"/>
    <row r="451" s="83" customFormat="1"/>
    <row r="452" s="83" customFormat="1"/>
    <row r="453" s="83" customFormat="1"/>
    <row r="454" s="83" customFormat="1"/>
    <row r="455" s="83" customFormat="1"/>
    <row r="456" s="83" customFormat="1"/>
    <row r="457" s="83" customFormat="1"/>
    <row r="458" s="83" customFormat="1"/>
    <row r="459" s="83" customFormat="1"/>
    <row r="460" s="83" customFormat="1"/>
    <row r="461" s="83" customFormat="1"/>
    <row r="462" s="83" customFormat="1"/>
    <row r="463" s="83" customFormat="1"/>
    <row r="464" s="83" customFormat="1"/>
    <row r="465" s="83" customFormat="1"/>
    <row r="466" s="83" customFormat="1"/>
    <row r="467" s="83" customFormat="1"/>
    <row r="468" s="83" customFormat="1"/>
    <row r="469" s="83" customFormat="1"/>
    <row r="470" s="83" customFormat="1"/>
    <row r="471" s="83" customFormat="1"/>
    <row r="472" s="83" customFormat="1"/>
    <row r="473" s="83" customFormat="1"/>
    <row r="474" s="83" customFormat="1"/>
    <row r="475" s="83" customFormat="1"/>
    <row r="476" s="83" customFormat="1"/>
    <row r="477" s="83" customFormat="1"/>
    <row r="478" s="83" customFormat="1"/>
    <row r="479" s="83" customFormat="1"/>
    <row r="480" s="83" customFormat="1"/>
    <row r="481" s="83" customFormat="1"/>
    <row r="482" s="83" customFormat="1"/>
    <row r="483" s="83" customFormat="1"/>
    <row r="484" s="83" customFormat="1"/>
    <row r="485" s="83" customFormat="1"/>
    <row r="486" s="83" customFormat="1"/>
    <row r="487" s="83" customFormat="1"/>
    <row r="488" s="83" customFormat="1"/>
    <row r="489" s="83" customFormat="1"/>
    <row r="490" s="83" customFormat="1"/>
    <row r="491" s="83" customFormat="1"/>
    <row r="492" s="83" customFormat="1"/>
    <row r="493" s="83" customFormat="1"/>
    <row r="494" s="83" customFormat="1"/>
    <row r="495" s="83" customFormat="1"/>
    <row r="496" s="83" customFormat="1"/>
    <row r="497" s="83" customFormat="1"/>
    <row r="498" s="83" customFormat="1"/>
    <row r="499" s="83" customFormat="1"/>
    <row r="500" s="83" customFormat="1"/>
    <row r="501" s="83" customFormat="1"/>
    <row r="502" s="83" customFormat="1"/>
    <row r="503" s="83" customFormat="1"/>
    <row r="504" s="83" customFormat="1"/>
    <row r="505" s="83" customFormat="1"/>
    <row r="506" s="83" customFormat="1"/>
    <row r="507" s="83" customFormat="1"/>
    <row r="508" s="83" customFormat="1"/>
    <row r="509" s="83" customFormat="1"/>
    <row r="510" s="83" customFormat="1"/>
    <row r="511" s="83" customFormat="1"/>
    <row r="512" s="83" customFormat="1"/>
    <row r="513" s="83" customFormat="1"/>
    <row r="514" s="83" customFormat="1"/>
    <row r="515" s="83" customFormat="1"/>
    <row r="516" s="83" customFormat="1"/>
    <row r="517" s="83" customFormat="1"/>
    <row r="518" s="83" customFormat="1"/>
    <row r="519" s="83" customFormat="1"/>
    <row r="520" s="83" customFormat="1"/>
    <row r="521" s="83" customFormat="1"/>
    <row r="522" s="83" customFormat="1"/>
    <row r="523" s="83" customFormat="1"/>
    <row r="524" s="83" customFormat="1"/>
    <row r="525" s="83" customFormat="1"/>
    <row r="526" s="83" customFormat="1"/>
    <row r="527" s="83" customFormat="1"/>
    <row r="528" s="83" customFormat="1"/>
    <row r="529" s="83" customFormat="1"/>
    <row r="530" s="83" customFormat="1"/>
    <row r="531" s="83" customFormat="1"/>
    <row r="532" s="83" customFormat="1"/>
    <row r="533" s="83" customFormat="1"/>
    <row r="534" s="83" customFormat="1"/>
    <row r="535" s="83" customFormat="1"/>
    <row r="536" s="83" customFormat="1"/>
    <row r="537" s="83" customFormat="1"/>
    <row r="538" s="83" customFormat="1"/>
    <row r="539" s="83" customFormat="1"/>
    <row r="540" s="83" customFormat="1"/>
    <row r="541" s="83" customFormat="1"/>
    <row r="542" s="83" customFormat="1"/>
    <row r="543" s="83" customFormat="1"/>
    <row r="544" s="83" customFormat="1"/>
    <row r="545" s="83" customFormat="1"/>
    <row r="546" s="83" customFormat="1"/>
    <row r="547" s="83" customFormat="1"/>
    <row r="548" s="83" customFormat="1"/>
    <row r="549" s="83" customFormat="1"/>
    <row r="550" s="83" customFormat="1"/>
    <row r="551" s="83" customFormat="1"/>
    <row r="552" s="83" customFormat="1"/>
    <row r="553" s="83" customFormat="1"/>
    <row r="554" s="83" customFormat="1"/>
    <row r="555" s="83" customFormat="1"/>
    <row r="556" s="83" customFormat="1"/>
    <row r="557" s="83" customFormat="1"/>
    <row r="558" s="83" customFormat="1"/>
    <row r="559" s="83" customFormat="1"/>
    <row r="560" s="83" customFormat="1"/>
    <row r="561" s="83" customFormat="1"/>
    <row r="562" s="83" customFormat="1"/>
    <row r="563" s="83" customFormat="1"/>
    <row r="564" s="83" customFormat="1"/>
    <row r="565" s="83" customFormat="1"/>
    <row r="566" s="83" customFormat="1"/>
    <row r="567" s="83" customFormat="1"/>
    <row r="568" s="83" customFormat="1"/>
    <row r="569" s="83" customFormat="1"/>
    <row r="570" s="83" customFormat="1"/>
    <row r="571" s="83" customFormat="1"/>
    <row r="572" s="83" customFormat="1"/>
    <row r="573" s="83" customFormat="1"/>
    <row r="574" s="83" customFormat="1"/>
    <row r="575" s="83" customFormat="1"/>
    <row r="576" s="83" customFormat="1"/>
    <row r="577" s="83" customFormat="1"/>
    <row r="578" s="83" customFormat="1"/>
    <row r="579" s="83" customFormat="1"/>
    <row r="580" s="83" customFormat="1"/>
    <row r="581" s="83" customFormat="1"/>
    <row r="582" s="83" customFormat="1"/>
    <row r="583" s="83" customFormat="1"/>
    <row r="584" s="83" customFormat="1"/>
    <row r="585" s="83" customFormat="1"/>
    <row r="586" s="83" customFormat="1"/>
    <row r="587" s="83" customFormat="1"/>
    <row r="588" s="83" customFormat="1"/>
    <row r="589" s="83" customFormat="1"/>
    <row r="590" s="83" customFormat="1"/>
    <row r="591" s="83" customFormat="1"/>
    <row r="592" s="83" customFormat="1"/>
    <row r="593" s="83" customFormat="1"/>
    <row r="594" s="83" customFormat="1"/>
    <row r="595" s="83" customFormat="1"/>
    <row r="596" s="83" customFormat="1"/>
    <row r="597" s="83" customFormat="1"/>
    <row r="598" s="83" customFormat="1"/>
    <row r="599" s="83" customFormat="1"/>
    <row r="600" s="83" customFormat="1"/>
    <row r="601" s="83" customFormat="1"/>
    <row r="602" s="83" customFormat="1"/>
    <row r="603" s="83" customFormat="1"/>
    <row r="604" s="83" customFormat="1"/>
    <row r="605" s="83" customFormat="1"/>
    <row r="606" s="83" customFormat="1"/>
    <row r="607" s="83" customFormat="1"/>
    <row r="608" s="83" customFormat="1"/>
    <row r="609" s="83" customFormat="1"/>
    <row r="610" s="83" customFormat="1"/>
    <row r="611" s="83" customFormat="1"/>
    <row r="612" s="83" customFormat="1"/>
    <row r="613" s="83" customFormat="1"/>
    <row r="614" s="83" customFormat="1"/>
    <row r="615" s="83" customFormat="1"/>
    <row r="616" s="83" customFormat="1"/>
    <row r="617" s="83" customFormat="1"/>
    <row r="618" s="83" customFormat="1"/>
    <row r="619" s="83" customFormat="1"/>
    <row r="620" s="83" customFormat="1"/>
    <row r="621" s="83" customFormat="1"/>
    <row r="622" s="83" customFormat="1"/>
    <row r="623" s="83" customFormat="1"/>
    <row r="624" s="83" customFormat="1"/>
    <row r="625" s="83" customFormat="1"/>
    <row r="626" s="83" customFormat="1"/>
    <row r="627" s="83" customFormat="1"/>
    <row r="628" s="83" customFormat="1"/>
    <row r="629" s="83" customFormat="1"/>
    <row r="630" s="83" customFormat="1"/>
    <row r="631" s="83" customFormat="1"/>
    <row r="632" s="83" customFormat="1"/>
    <row r="633" s="83" customFormat="1"/>
    <row r="634" s="83" customFormat="1"/>
    <row r="635" s="83" customFormat="1"/>
    <row r="636" s="83" customFormat="1"/>
    <row r="637" s="83" customFormat="1"/>
    <row r="638" s="83" customFormat="1"/>
    <row r="639" s="83" customFormat="1"/>
    <row r="640" s="83" customFormat="1"/>
    <row r="641" s="83" customFormat="1"/>
    <row r="642" s="83" customFormat="1"/>
    <row r="643" s="83" customFormat="1"/>
    <row r="644" s="83" customFormat="1"/>
    <row r="645" s="83" customFormat="1"/>
    <row r="646" s="83" customFormat="1"/>
    <row r="647" s="83" customFormat="1"/>
    <row r="648" s="83" customFormat="1"/>
    <row r="649" s="83" customFormat="1"/>
    <row r="650" s="83" customFormat="1"/>
    <row r="651" s="83" customFormat="1"/>
    <row r="652" s="83" customFormat="1"/>
    <row r="653" s="83" customFormat="1"/>
    <row r="654" s="83" customFormat="1"/>
    <row r="655" s="83" customFormat="1"/>
    <row r="656" s="83" customFormat="1"/>
    <row r="657" s="83" customFormat="1"/>
    <row r="658" s="83" customFormat="1"/>
    <row r="659" s="83" customFormat="1"/>
    <row r="660" s="83" customFormat="1"/>
    <row r="661" s="83" customFormat="1"/>
    <row r="662" s="83" customFormat="1"/>
    <row r="663" s="83" customFormat="1"/>
    <row r="664" s="83" customFormat="1"/>
    <row r="665" s="83" customFormat="1"/>
    <row r="666" s="83" customFormat="1"/>
    <row r="667" s="83" customFormat="1"/>
    <row r="668" s="83" customFormat="1"/>
    <row r="669" s="83" customFormat="1"/>
    <row r="670" s="83" customFormat="1"/>
    <row r="671" s="83" customFormat="1"/>
    <row r="672" s="83" customFormat="1"/>
    <row r="673" s="83" customFormat="1"/>
    <row r="674" s="83" customFormat="1"/>
    <row r="675" s="83" customFormat="1"/>
    <row r="676" s="83" customFormat="1"/>
    <row r="677" s="83" customFormat="1"/>
    <row r="678" s="83" customFormat="1"/>
    <row r="679" s="83" customFormat="1"/>
    <row r="680" s="83" customFormat="1"/>
    <row r="681" s="83" customFormat="1"/>
    <row r="682" s="83" customFormat="1"/>
    <row r="683" s="83" customFormat="1"/>
    <row r="684" s="83" customFormat="1"/>
    <row r="685" s="83" customFormat="1"/>
    <row r="686" s="83" customFormat="1"/>
    <row r="687" s="83" customFormat="1"/>
    <row r="688" s="83" customFormat="1"/>
    <row r="689" s="83" customFormat="1"/>
    <row r="690" s="83" customFormat="1"/>
    <row r="691" s="83" customFormat="1"/>
    <row r="692" s="83" customFormat="1"/>
    <row r="693" s="83" customFormat="1"/>
    <row r="694" s="83" customFormat="1"/>
    <row r="695" s="83" customFormat="1"/>
    <row r="696" s="83" customFormat="1"/>
    <row r="697" s="83" customFormat="1"/>
    <row r="698" s="83" customFormat="1"/>
    <row r="699" s="83" customFormat="1"/>
    <row r="700" s="83" customFormat="1"/>
    <row r="701" s="83" customFormat="1"/>
    <row r="702" s="83" customFormat="1"/>
    <row r="703" s="83" customFormat="1"/>
    <row r="704" s="83" customFormat="1"/>
    <row r="705" s="83" customFormat="1"/>
    <row r="706" s="83" customFormat="1"/>
    <row r="707" s="83" customFormat="1"/>
    <row r="708" s="83" customFormat="1"/>
    <row r="709" s="83" customFormat="1"/>
    <row r="710" s="83" customFormat="1"/>
    <row r="711" s="83" customFormat="1"/>
    <row r="712" s="83" customFormat="1"/>
    <row r="713" s="83" customFormat="1"/>
    <row r="714" s="83" customFormat="1"/>
    <row r="715" s="83" customFormat="1"/>
    <row r="716" s="83" customFormat="1"/>
    <row r="717" s="83" customFormat="1"/>
    <row r="718" s="83" customFormat="1"/>
    <row r="719" s="83" customFormat="1"/>
    <row r="720" s="83" customFormat="1"/>
    <row r="721" spans="1:15" s="83" customFormat="1"/>
    <row r="722" spans="1:15" s="83" customFormat="1"/>
    <row r="723" spans="1:15" s="83" customFormat="1"/>
    <row r="724" spans="1:15" s="83" customFormat="1"/>
    <row r="725" spans="1:15" s="83" customForma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1:15" s="83" customForma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1:15" s="83" customForma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1:15" s="83" customForma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1:15" s="83" customForma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s="83" customForma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1:15" s="83" customForma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1:15" s="83" customForma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1:15" s="83" customForma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1:15" s="83" customForma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1:15" s="83" customForma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1:15" s="83" customForma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1:15" s="83" customForma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1:15" s="83" customForma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1:15" s="83" customForma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5" s="83" customForma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1:15" s="83" customForma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5" s="83" customForma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1:15" s="83" customForma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1:15" s="83" customForma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1:15" s="83" customForma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1:15" s="83" customForma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1:15" s="83" customForma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1:15" s="83" customForma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1:15" s="83" customForma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s="83" customForma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s="83" customForma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1:15" s="83" customForma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1:15" s="83" customForma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1:15" s="83" customForma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1:15" s="83" customForma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1:15" s="83" customForma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1:15" s="83" customForma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1:15" s="83" customForma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1:15" s="83" customForma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1:15" s="83" customForma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1:15" s="83" customForma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1:15" s="83" customForma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s="83" customForma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s="83" customForma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1:15" s="83" customForma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1:15" s="83" customForma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1:15" s="83" customForma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5" s="83" customForma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1:15" s="83" customForma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1:15" s="83" customForma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1:15" s="83" customForma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1:15" s="83" customForma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1:15" s="83" customForma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1:15" s="83" customForma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1:15" s="83" customForma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1:15" s="83" customForma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1:15" s="83" customForma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1:15" s="83" customForma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1:15" s="83" customForma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1:15" s="83" customForma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1:15" s="83" customForma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1:15" s="83" customForma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15" s="83" customForma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1:15" s="83" customForma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1:15" s="83" customForma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1:15" s="83" customForma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1:15" s="83" customForma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1:15" s="83" customForma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1:15" s="83" customForma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1:15" s="83" customForma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1:15" s="83" customForma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1:15" s="83" customForma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1:15" s="83" customForma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5" s="83" customForma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1:15" s="83" customForma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5" s="83" customForma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1:15" s="83" customForma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1:15" s="83" customForma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1:15" s="83" customForma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1:15" s="83" customForma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1:15" s="83" customForma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1:15" s="83" customForma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1:15" s="83" customForma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1:15" s="83" customForma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1:15" s="83" customForma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1:15" s="83" customForma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1:15" s="83" customForma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1:15" s="83" customForma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1:15" s="83" customForma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1:15" s="83" customForma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1:15" s="83" customForma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1:15" s="83" customForma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1:15" s="83" customForma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1:15" s="83" customForma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1:15" s="83" customForma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1:15" s="83" customForma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1:15" s="83" customForma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1:15" s="83" customForma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1:15" s="83" customForma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1:15" s="83" customForma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1:15" s="83" customForma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5" s="83" customForma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1:15" s="83" customForma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1:15" s="83" customForma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1:15" s="83" customForma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1:15" s="83" customForma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1:15" s="83" customForma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1:15" s="83" customForma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1:15" s="83" customForma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1:15" s="83" customForma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1:15" s="83" customForma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1:15" s="83" customForma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1:15" s="83" customForma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1:15" s="83" customForma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1:15" s="83" customForma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1:15" s="83" customForma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1:15" s="83" customForma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1:15" s="83" customForma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1:15" s="83" customForma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1:15" s="83" customForma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1:15" s="83" customForma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1:15" s="83" customForma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1:15" s="83" customForma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1:15" s="83" customForma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1:15" s="83" customForma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1:15" s="83" customForma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1:15" s="83" customForma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5" s="83" customForma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1:15" s="83" customForma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5" s="83" customForma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1:15" s="83" customForma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1:15" s="83" customForma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1:15" s="83" customForma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1:15" s="83" customForma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1:15" s="83" customForma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1:15" s="83" customForma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1:15" s="83" customForma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1:15" s="83" customForma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1:15" s="83" customForma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1:15" s="83" customForma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1:15" s="83" customForma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1:15" s="83" customForma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1:15" s="83" customForma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1:15" s="83" customForma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1:15" s="83" customForma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1:15" s="83" customForma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1:15" s="83" customForma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1:15" s="83" customForma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1:15" s="83" customForma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1:15" s="83" customForma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1:15" s="83" customForma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1:15" s="83" customForma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1:15" s="83" customForma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1:15" s="83" customForma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1:15" s="83" customForma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5" s="83" customForma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1:15" s="83" customForma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1:15" s="83" customForma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1:15" s="83" customForma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1:15" s="83" customForma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1:15" s="83" customForma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1:15" s="83" customForma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1:15" s="83" customForma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1:15" s="83" customForma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1:15" s="83" customForma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1:15" s="83" customForma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1:15" s="83" customForma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1:15" s="83" customForma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1:15" s="83" customForma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1:15" s="83" customForma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1:15" s="83" customForma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1:15" s="83" customForma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1:15" s="83" customForma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1:15" s="83" customForma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1:15" s="83" customForma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1:15" s="83" customForma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1:15" s="83" customForma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1:15" s="83" customForma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1:15" s="83" customForma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1:15" s="83" customForma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1:15" s="83" customForma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5" s="83" customForma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1:15" s="83" customForma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5" s="83" customForma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1:15" s="83" customForma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1:15" s="83" customForma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1:15" s="83" customForma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1:15" s="83" customForma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1:15" s="83" customForma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1:15" s="83" customForma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1:15" s="83" customForma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1:15" s="83" customForma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1:15" s="83" customForma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1:15" s="83" customForma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1:15" s="83" customForma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1:15" s="83" customForma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1:15" s="83" customForma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1:15" s="83" customForma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1:15" s="83" customForma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1:15" s="83" customForma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1:15" s="83" customForma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1:15" s="83" customForma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1:15" s="83" customForma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1:15" s="83" customForma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1:15" s="83" customForma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1:15" s="83" customForma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1:15" s="83" customForma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1:15" s="83" customForma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1:15" s="83" customForma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5" s="83" customForma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1:15" s="83" customForma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5" s="83" customForma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1:15" s="83" customForma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1:15" s="83" customForma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1:15" s="83" customForma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1:15" s="83" customForma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1:15" s="83" customForma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1:15" s="83" customForma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1:15" s="83" customForma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1:15" s="83" customForma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1:15" s="83" customForma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1:15" s="83" customForma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1:15" s="83" customForma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1:15" s="83" customForma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1:15" s="83" customForma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1:15" s="83" customForma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1:15" s="83" customForma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1:15" s="83" customForma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1:15" s="83" customForma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1:15" s="83" customForma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1:15" s="83" customForma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1:15" s="83" customForma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1:15" s="83" customForma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1:15" s="83" customForma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1:15" s="83" customForma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5" s="83" customForma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1:15" s="83" customForma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5" s="83" customForma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1:15" s="83" customForma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1:15" s="83" customForma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1:15" s="83" customForma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1:15" s="83" customForma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1:15" s="83" customForma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1:15" s="83" customForma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1:15" s="83" customForma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1:15" s="83" customForma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1:15" s="83" customForma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1:15" s="83" customForma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1:15" s="83" customForma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1:15" s="83" customForma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1:15" s="83" customForma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1:15" s="83" customForma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1:15" s="83" customForma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1:15" s="83" customForma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1:15" s="83" customForma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1:15" s="83" customForma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1:15" s="83" customForma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1:15" s="83" customForma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1:15" s="83" customForma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1:15" s="83" customForma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1:15" s="83" customForma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1:15" s="83" customForma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1:15" s="83" customForma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1:15" s="83" customForma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1:15" s="83" customForma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1:15" s="83" customForma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1:15" s="83" customForma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1:15" s="83" customForma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1:15" s="83" customForma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1:15" s="83" customForma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1:15" s="83" customForma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1:15" s="83" customForma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1:15" s="83" customForma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1:15" s="83" customForma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1:15" s="83" customForma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1:15" s="83" customForma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1:15" s="83" customForma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1:15" s="83" customForma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1:15" s="83" customForma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1:15" s="83" customForma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1:15" s="83" customFormat="1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1:15" s="83" customFormat="1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1:15" s="83" customFormat="1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1:15" s="83" customFormat="1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1:15" s="83" customFormat="1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1:15" s="83" customFormat="1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1:15" s="83" customFormat="1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1:15" s="83" customFormat="1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1:15" s="83" customFormat="1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1:15" s="83" customFormat="1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1:15" s="83" customFormat="1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1:15" s="83" customFormat="1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</row>
    <row r="1013" spans="1:15" s="83" customFormat="1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1:15" s="83" customFormat="1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</row>
    <row r="1015" spans="1:15" s="83" customFormat="1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1:15" s="83" customFormat="1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</row>
    <row r="1017" spans="1:15" s="83" customFormat="1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1:15" s="83" customFormat="1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</row>
    <row r="1019" spans="1:15" s="83" customFormat="1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1:15" s="83" customFormat="1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</row>
    <row r="1021" spans="1:15" s="83" customFormat="1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1:15" s="83" customFormat="1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</row>
    <row r="1023" spans="1:15" s="83" customFormat="1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1:15" s="83" customFormat="1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</row>
    <row r="1025" spans="1:15" s="83" customFormat="1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1:15" s="83" customFormat="1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</row>
    <row r="1027" spans="1:15" s="83" customFormat="1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1:15" s="83" customFormat="1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</row>
    <row r="1029" spans="1:15" s="83" customFormat="1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1:15" s="83" customFormat="1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</row>
    <row r="1031" spans="1:15" s="83" customFormat="1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1:15" s="83" customFormat="1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</row>
    <row r="1033" spans="1:15" s="83" customFormat="1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1:15" s="83" customFormat="1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</row>
    <row r="1035" spans="1:15" s="83" customFormat="1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1:15" s="83" customFormat="1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1:15" s="83" customFormat="1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1:15" s="83" customFormat="1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1:15" s="83" customFormat="1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1:15" s="83" customFormat="1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</row>
    <row r="1041" spans="1:15" s="83" customFormat="1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1:15" s="83" customFormat="1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</row>
    <row r="1043" spans="1:15" s="83" customFormat="1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1:15" s="83" customFormat="1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</row>
    <row r="1045" spans="1:15" s="83" customFormat="1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1:15" s="83" customFormat="1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</row>
    <row r="1047" spans="1:15" s="83" customFormat="1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1:15" s="83" customFormat="1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</row>
    <row r="1049" spans="1:15" s="83" customFormat="1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1:15" s="83" customFormat="1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</row>
    <row r="1051" spans="1:15" s="83" customFormat="1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1:15" s="83" customFormat="1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</row>
    <row r="1053" spans="1:15" s="83" customFormat="1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1:15" s="83" customFormat="1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</row>
    <row r="1055" spans="1:15" s="83" customFormat="1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1:15" s="83" customFormat="1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</row>
    <row r="1057" spans="1:15" s="83" customFormat="1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1:15" s="83" customFormat="1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</row>
    <row r="1059" spans="1:15" s="83" customFormat="1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1:15" s="83" customFormat="1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</row>
    <row r="1061" spans="1:15" s="83" customFormat="1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1:15" s="83" customFormat="1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</row>
    <row r="1063" spans="1:15" s="83" customFormat="1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1:15" s="83" customFormat="1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1:15" s="83" customFormat="1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1:15" s="83" customFormat="1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</row>
    <row r="1067" spans="1:15" s="83" customFormat="1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1:15" s="83" customFormat="1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</row>
    <row r="1069" spans="1:15" s="83" customFormat="1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1:15" s="83" customFormat="1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</row>
    <row r="1071" spans="1:15" s="83" customFormat="1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1:15" s="83" customFormat="1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</row>
    <row r="1073" spans="1:15" s="83" customFormat="1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1:15" s="83" customFormat="1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</row>
  </sheetData>
  <sheetProtection password="DDBB" sheet="1" objects="1" scenarios="1"/>
  <customSheetViews>
    <customSheetView guid="{8B6F97DF-C947-48D2-9784-61CE00853B70}" showGridLines="0" showRowCol="0" outlineSymbols="0" zeroValues="0" showRuler="0">
      <selection activeCell="E25" sqref="E25"/>
      <rowBreaks count="1" manualBreakCount="1">
        <brk id="32" max="15" man="1"/>
      </rowBreaks>
      <pageMargins left="0.74803149606299213" right="0.23622047244094491" top="0.74803149606299213" bottom="0.47244094488188981" header="0.51181102362204722" footer="0.51181102362204722"/>
      <pageSetup paperSize="9" scale="95" orientation="landscape" r:id="rId1"/>
      <headerFooter alignWithMargins="0">
        <oddFooter>&amp;C&amp;F</oddFooter>
      </headerFooter>
    </customSheetView>
  </customSheetViews>
  <mergeCells count="215">
    <mergeCell ref="B15:C15"/>
    <mergeCell ref="A18:B18"/>
    <mergeCell ref="A16:B16"/>
    <mergeCell ref="F16:G16"/>
    <mergeCell ref="F17:G17"/>
    <mergeCell ref="F18:G18"/>
    <mergeCell ref="A1:J1"/>
    <mergeCell ref="B14:C14"/>
    <mergeCell ref="F14:G14"/>
    <mergeCell ref="F15:G15"/>
    <mergeCell ref="F13:G13"/>
    <mergeCell ref="A10:C10"/>
    <mergeCell ref="A2:I2"/>
    <mergeCell ref="B11:C11"/>
    <mergeCell ref="B12:C12"/>
    <mergeCell ref="H11:H12"/>
    <mergeCell ref="B13:C13"/>
    <mergeCell ref="D16:E16"/>
    <mergeCell ref="D12:E12"/>
    <mergeCell ref="D17:E18"/>
    <mergeCell ref="A17:B17"/>
    <mergeCell ref="D15:E15"/>
    <mergeCell ref="I30:J30"/>
    <mergeCell ref="F29:J29"/>
    <mergeCell ref="D37:E37"/>
    <mergeCell ref="I31:J31"/>
    <mergeCell ref="A36:C36"/>
    <mergeCell ref="A37:C37"/>
    <mergeCell ref="D19:E19"/>
    <mergeCell ref="D38:E38"/>
    <mergeCell ref="D39:E39"/>
    <mergeCell ref="A35:C35"/>
    <mergeCell ref="A31:B31"/>
    <mergeCell ref="A25:B25"/>
    <mergeCell ref="A30:B30"/>
    <mergeCell ref="A28:B28"/>
    <mergeCell ref="A21:B21"/>
    <mergeCell ref="A23:B23"/>
    <mergeCell ref="A22:B22"/>
    <mergeCell ref="A24:B24"/>
    <mergeCell ref="A20:E20"/>
    <mergeCell ref="C22:E23"/>
    <mergeCell ref="A26:B26"/>
    <mergeCell ref="B39:C39"/>
    <mergeCell ref="C29:E29"/>
    <mergeCell ref="A27:B27"/>
    <mergeCell ref="C79:D79"/>
    <mergeCell ref="B76:C76"/>
    <mergeCell ref="D76:E76"/>
    <mergeCell ref="D73:E73"/>
    <mergeCell ref="B75:C75"/>
    <mergeCell ref="D75:E75"/>
    <mergeCell ref="A45:C45"/>
    <mergeCell ref="B41:C41"/>
    <mergeCell ref="A38:C38"/>
    <mergeCell ref="D44:E44"/>
    <mergeCell ref="A50:A51"/>
    <mergeCell ref="A44:C44"/>
    <mergeCell ref="A43:C43"/>
    <mergeCell ref="D72:E72"/>
    <mergeCell ref="B72:C72"/>
    <mergeCell ref="B50:C50"/>
    <mergeCell ref="B74:C74"/>
    <mergeCell ref="D74:E74"/>
    <mergeCell ref="B73:C73"/>
    <mergeCell ref="B71:C71"/>
    <mergeCell ref="D71:E71"/>
    <mergeCell ref="D69:E69"/>
    <mergeCell ref="D66:E66"/>
    <mergeCell ref="D65:E65"/>
    <mergeCell ref="D35:E35"/>
    <mergeCell ref="B33:C33"/>
    <mergeCell ref="I32:J32"/>
    <mergeCell ref="B64:C64"/>
    <mergeCell ref="D42:E42"/>
    <mergeCell ref="D41:E41"/>
    <mergeCell ref="B40:C40"/>
    <mergeCell ref="D36:E36"/>
    <mergeCell ref="B57:C57"/>
    <mergeCell ref="D57:E57"/>
    <mergeCell ref="D55:E55"/>
    <mergeCell ref="B53:C53"/>
    <mergeCell ref="B52:C52"/>
    <mergeCell ref="B54:C54"/>
    <mergeCell ref="B56:C56"/>
    <mergeCell ref="D53:E53"/>
    <mergeCell ref="D60:E60"/>
    <mergeCell ref="B51:C51"/>
    <mergeCell ref="A32:B32"/>
    <mergeCell ref="D61:E61"/>
    <mergeCell ref="D64:E64"/>
    <mergeCell ref="D67:E67"/>
    <mergeCell ref="D70:E70"/>
    <mergeCell ref="B62:C62"/>
    <mergeCell ref="N45:O45"/>
    <mergeCell ref="N53:O53"/>
    <mergeCell ref="N57:O57"/>
    <mergeCell ref="N55:O55"/>
    <mergeCell ref="N56:O56"/>
    <mergeCell ref="D52:E52"/>
    <mergeCell ref="D58:E58"/>
    <mergeCell ref="D59:E59"/>
    <mergeCell ref="D54:E54"/>
    <mergeCell ref="D45:E45"/>
    <mergeCell ref="N50:O50"/>
    <mergeCell ref="N58:O58"/>
    <mergeCell ref="N59:O59"/>
    <mergeCell ref="N54:O54"/>
    <mergeCell ref="F79:G79"/>
    <mergeCell ref="N75:O75"/>
    <mergeCell ref="N76:O76"/>
    <mergeCell ref="N74:O74"/>
    <mergeCell ref="L77:M77"/>
    <mergeCell ref="N77:O77"/>
    <mergeCell ref="N73:O73"/>
    <mergeCell ref="N66:O66"/>
    <mergeCell ref="N70:O70"/>
    <mergeCell ref="N19:O19"/>
    <mergeCell ref="N65:O65"/>
    <mergeCell ref="N69:O69"/>
    <mergeCell ref="N67:O67"/>
    <mergeCell ref="N72:O72"/>
    <mergeCell ref="N68:O68"/>
    <mergeCell ref="N71:O71"/>
    <mergeCell ref="N35:O35"/>
    <mergeCell ref="N37:O37"/>
    <mergeCell ref="N52:O52"/>
    <mergeCell ref="N38:O38"/>
    <mergeCell ref="N36:O36"/>
    <mergeCell ref="N47:O47"/>
    <mergeCell ref="N48:O48"/>
    <mergeCell ref="N49:O49"/>
    <mergeCell ref="N51:O51"/>
    <mergeCell ref="N42:O42"/>
    <mergeCell ref="N44:O44"/>
    <mergeCell ref="N61:O61"/>
    <mergeCell ref="N60:O60"/>
    <mergeCell ref="N64:O64"/>
    <mergeCell ref="N63:O63"/>
    <mergeCell ref="N43:O43"/>
    <mergeCell ref="N46:O46"/>
    <mergeCell ref="I22:J23"/>
    <mergeCell ref="K22:L23"/>
    <mergeCell ref="I28:J28"/>
    <mergeCell ref="I15:M16"/>
    <mergeCell ref="I17:M18"/>
    <mergeCell ref="H19:M19"/>
    <mergeCell ref="F22:H23"/>
    <mergeCell ref="F19:G19"/>
    <mergeCell ref="H15:H16"/>
    <mergeCell ref="H17:H18"/>
    <mergeCell ref="I24:J24"/>
    <mergeCell ref="K24:L24"/>
    <mergeCell ref="I25:J25"/>
    <mergeCell ref="I27:J27"/>
    <mergeCell ref="K26:L26"/>
    <mergeCell ref="I26:J26"/>
    <mergeCell ref="K27:L27"/>
    <mergeCell ref="N39:O39"/>
    <mergeCell ref="N40:O40"/>
    <mergeCell ref="N41:O41"/>
    <mergeCell ref="K25:L25"/>
    <mergeCell ref="D50:E50"/>
    <mergeCell ref="D46:E46"/>
    <mergeCell ref="D51:E51"/>
    <mergeCell ref="B47:C47"/>
    <mergeCell ref="N6:O6"/>
    <mergeCell ref="L6:M6"/>
    <mergeCell ref="F6:K6"/>
    <mergeCell ref="I14:M14"/>
    <mergeCell ref="F12:G12"/>
    <mergeCell ref="I10:M10"/>
    <mergeCell ref="I11:M12"/>
    <mergeCell ref="N11:O12"/>
    <mergeCell ref="I13:M13"/>
    <mergeCell ref="K29:L29"/>
    <mergeCell ref="N13:O13"/>
    <mergeCell ref="N15:O16"/>
    <mergeCell ref="N17:O18"/>
    <mergeCell ref="N14:O14"/>
    <mergeCell ref="K28:L28"/>
    <mergeCell ref="I21:L21"/>
    <mergeCell ref="L5:M5"/>
    <mergeCell ref="N3:O3"/>
    <mergeCell ref="N5:O5"/>
    <mergeCell ref="B3:D3"/>
    <mergeCell ref="F3:K3"/>
    <mergeCell ref="B4:K4"/>
    <mergeCell ref="B5:K5"/>
    <mergeCell ref="M4:O4"/>
    <mergeCell ref="L3:M3"/>
    <mergeCell ref="B81:L81"/>
    <mergeCell ref="D13:E13"/>
    <mergeCell ref="D10:G10"/>
    <mergeCell ref="D14:E14"/>
    <mergeCell ref="D11:E11"/>
    <mergeCell ref="F11:G11"/>
    <mergeCell ref="D56:E56"/>
    <mergeCell ref="D40:E40"/>
    <mergeCell ref="A42:C42"/>
    <mergeCell ref="D43:E43"/>
    <mergeCell ref="B55:C55"/>
    <mergeCell ref="B61:C61"/>
    <mergeCell ref="B59:C59"/>
    <mergeCell ref="B58:C58"/>
    <mergeCell ref="A69:A70"/>
    <mergeCell ref="B69:C69"/>
    <mergeCell ref="A64:A65"/>
    <mergeCell ref="B66:C66"/>
    <mergeCell ref="B70:C70"/>
    <mergeCell ref="B65:C65"/>
    <mergeCell ref="B67:C67"/>
    <mergeCell ref="B60:C60"/>
    <mergeCell ref="B46:C46"/>
    <mergeCell ref="D47:E47"/>
  </mergeCells>
  <phoneticPr fontId="53" type="noConversion"/>
  <pageMargins left="0.74803149606299213" right="0.23622047244094491" top="0.74803149606299213" bottom="0.47244094488188981" header="0.51181102362204722" footer="0.51181102362204722"/>
  <pageSetup paperSize="9" scale="95" orientation="landscape" r:id="rId2"/>
  <headerFooter alignWithMargins="0">
    <oddFooter>&amp;C&amp;F</oddFooter>
  </headerFooter>
  <rowBreaks count="1" manualBreakCount="1">
    <brk id="32" max="15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_xludf.INFO">
                <anchor moveWithCells="1" sizeWithCells="1">
                  <from>
                    <xdr:col>8</xdr:col>
                    <xdr:colOff>180975</xdr:colOff>
                    <xdr:row>6</xdr:row>
                    <xdr:rowOff>142875</xdr:rowOff>
                  </from>
                  <to>
                    <xdr:col>10</xdr:col>
                    <xdr:colOff>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Printeninclspecificatie">
                <anchor moveWithCells="1" sizeWithCells="1">
                  <from>
                    <xdr:col>10</xdr:col>
                    <xdr:colOff>171450</xdr:colOff>
                    <xdr:row>6</xdr:row>
                    <xdr:rowOff>0</xdr:rowOff>
                  </from>
                  <to>
                    <xdr:col>12</xdr:col>
                    <xdr:colOff>400050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Pagedown">
                <anchor moveWithCells="1" sizeWithCells="1">
                  <from>
                    <xdr:col>13</xdr:col>
                    <xdr:colOff>0</xdr:colOff>
                    <xdr:row>6</xdr:row>
                    <xdr:rowOff>161925</xdr:rowOff>
                  </from>
                  <to>
                    <xdr:col>15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Button 4">
              <controlPr defaultSize="0" print="0" autoFill="0" autoPict="0" macro="[0]!Pageup">
                <anchor moveWithCells="1" sizeWithCells="1">
                  <from>
                    <xdr:col>14</xdr:col>
                    <xdr:colOff>657225</xdr:colOff>
                    <xdr:row>46</xdr:row>
                    <xdr:rowOff>114300</xdr:rowOff>
                  </from>
                  <to>
                    <xdr:col>15</xdr:col>
                    <xdr:colOff>95250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locked="0" defaultSize="0" autoLine="0" autoPict="0">
                <anchor moveWithCells="1">
                  <from>
                    <xdr:col>1</xdr:col>
                    <xdr:colOff>0</xdr:colOff>
                    <xdr:row>4</xdr:row>
                    <xdr:rowOff>190500</xdr:rowOff>
                  </from>
                  <to>
                    <xdr:col>3</xdr:col>
                    <xdr:colOff>590550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Drop Down 18">
              <controlPr locked="0" defaultSize="0" autoLine="0" autoPict="0">
                <anchor moveWithCells="1">
                  <from>
                    <xdr:col>1</xdr:col>
                    <xdr:colOff>0</xdr:colOff>
                    <xdr:row>6</xdr:row>
                    <xdr:rowOff>171450</xdr:rowOff>
                  </from>
                  <to>
                    <xdr:col>8</xdr:col>
                    <xdr:colOff>28575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Button 21">
              <controlPr defaultSize="0" print="0" autoFill="0" autoPict="0" macro="[0]!Printeninvenspec">
                <anchor moveWithCells="1" sizeWithCells="1">
                  <from>
                    <xdr:col>10</xdr:col>
                    <xdr:colOff>171450</xdr:colOff>
                    <xdr:row>7</xdr:row>
                    <xdr:rowOff>114300</xdr:rowOff>
                  </from>
                  <to>
                    <xdr:col>12</xdr:col>
                    <xdr:colOff>400050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autoPageBreaks="0"/>
  </sheetPr>
  <dimension ref="A1:AZ502"/>
  <sheetViews>
    <sheetView showGridLines="0" showZeros="0" showOutlineSymbols="0" zoomScale="90" zoomScaleNormal="90" workbookViewId="0">
      <selection activeCell="D234" sqref="D234"/>
    </sheetView>
  </sheetViews>
  <sheetFormatPr defaultColWidth="9.140625" defaultRowHeight="12.75"/>
  <cols>
    <col min="1" max="1" width="6" style="83" customWidth="1"/>
    <col min="2" max="2" width="29.85546875" style="83" customWidth="1"/>
    <col min="3" max="3" width="12.42578125" style="124" customWidth="1"/>
    <col min="4" max="4" width="51.140625" style="87" customWidth="1"/>
    <col min="5" max="6" width="4.42578125" style="83" hidden="1" customWidth="1"/>
    <col min="7" max="7" width="4.42578125" style="124" hidden="1" customWidth="1"/>
    <col min="8" max="8" width="10.7109375" style="83" hidden="1" customWidth="1"/>
    <col min="9" max="9" width="14" style="141" hidden="1" customWidth="1"/>
    <col min="10" max="10" width="3.7109375" style="83" hidden="1" customWidth="1"/>
    <col min="11" max="11" width="10.7109375" style="83" hidden="1" customWidth="1"/>
    <col min="12" max="12" width="10.5703125" style="83" hidden="1" customWidth="1"/>
    <col min="13" max="13" width="10.7109375" style="83" hidden="1" customWidth="1"/>
    <col min="14" max="14" width="10.7109375" style="134" hidden="1" customWidth="1"/>
    <col min="15" max="15" width="17" style="83" hidden="1" customWidth="1"/>
    <col min="16" max="16" width="13.5703125" style="83" hidden="1" customWidth="1"/>
    <col min="17" max="18" width="11.7109375" style="141" hidden="1" customWidth="1"/>
    <col min="19" max="19" width="11.7109375" style="83" hidden="1" customWidth="1"/>
    <col min="20" max="20" width="11.5703125" style="83" hidden="1" customWidth="1"/>
    <col min="21" max="21" width="18.85546875" style="83" hidden="1" customWidth="1"/>
    <col min="22" max="26" width="9.140625" style="83" hidden="1" customWidth="1"/>
    <col min="27" max="27" width="16.7109375" style="83" hidden="1" customWidth="1"/>
    <col min="28" max="28" width="11.85546875" style="83" hidden="1" customWidth="1"/>
    <col min="29" max="29" width="10.5703125" style="83" hidden="1" customWidth="1"/>
    <col min="30" max="34" width="9.5703125" style="83" hidden="1" customWidth="1"/>
    <col min="35" max="35" width="11.140625" style="83" hidden="1" customWidth="1"/>
    <col min="36" max="38" width="9.5703125" style="83" hidden="1" customWidth="1"/>
    <col min="39" max="52" width="9.140625" style="83" hidden="1" customWidth="1"/>
    <col min="53" max="16384" width="9.140625" style="83"/>
  </cols>
  <sheetData>
    <row r="1" spans="1:40" ht="26.25">
      <c r="B1" s="132" t="s">
        <v>1219</v>
      </c>
      <c r="I1" s="133" t="s">
        <v>475</v>
      </c>
      <c r="K1" s="83" t="s">
        <v>1120</v>
      </c>
      <c r="N1" s="134" t="s">
        <v>1064</v>
      </c>
      <c r="P1" s="83" t="s">
        <v>1063</v>
      </c>
      <c r="Q1" s="135">
        <v>1</v>
      </c>
      <c r="R1" s="135">
        <v>2</v>
      </c>
      <c r="S1" s="83">
        <v>3</v>
      </c>
      <c r="T1" s="83">
        <v>4</v>
      </c>
      <c r="U1" s="83">
        <v>5</v>
      </c>
      <c r="AA1" s="136" t="s">
        <v>388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24"/>
    </row>
    <row r="2" spans="1:40" ht="21" thickBot="1">
      <c r="B2" s="138" t="s">
        <v>1017</v>
      </c>
      <c r="C2" s="139" t="s">
        <v>1018</v>
      </c>
      <c r="H2" s="87"/>
      <c r="I2" s="140">
        <f>IF(AND(Rekenblad!$D$7=1,Rekenblad!$H$28&gt;0.1,Rekenblad!$H$28&lt;=15),(Q2),IF(AND(Rekenblad!$D$7=2,Rekenblad!$H$28&gt;0.1,Rekenblad!$H$28&lt;=15),(R2),(IF(AND(Rekenblad!$D$7=3,Rekenblad!$H$28&gt;0.1,Rekenblad!$H$28&lt;=15),(S2),IF(AND(Rekenblad!$D$7=4,Rekenblad!$H$28&gt;0.1,Rekenblad!$H$28&lt;=15),(T2),IF(AND(Rekenblad!$D$7=5,Rekenblad!$H$28&gt;0.1,Rekenblad!$H$28&lt;=15),(U2),0))))))</f>
        <v>0</v>
      </c>
      <c r="J2" s="87"/>
      <c r="K2" s="6">
        <f>IF(AND(Rekenblad!$B$9=1,Rekenblad!$H$28&gt;0,Rekenblad!$H$28&lt;=15),(Rekenblad!$H$28),0)</f>
        <v>0</v>
      </c>
      <c r="L2" s="87"/>
      <c r="N2" s="134" t="s">
        <v>1065</v>
      </c>
      <c r="O2" s="83" t="s">
        <v>1068</v>
      </c>
      <c r="P2" s="83" t="s">
        <v>1070</v>
      </c>
      <c r="Q2" s="141">
        <f>SUM($K82,$K83,$K86)</f>
        <v>32.510000000000005</v>
      </c>
      <c r="R2" s="141">
        <f>SUM($K82,$K89,$K92)</f>
        <v>32.78</v>
      </c>
      <c r="S2" s="141">
        <f>SUM($K82,$K95,$K98)</f>
        <v>33.6</v>
      </c>
      <c r="T2" s="141">
        <f>SUM($K82,$K101,$K104)</f>
        <v>35.28</v>
      </c>
      <c r="U2" s="141">
        <f>SUM($K82,$K107,$K110)</f>
        <v>35.840000000000003</v>
      </c>
      <c r="AA2" s="142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24"/>
    </row>
    <row r="3" spans="1:40" ht="18" customHeight="1" thickTop="1" thickBot="1">
      <c r="A3" s="83">
        <v>1</v>
      </c>
      <c r="B3" s="83" t="s">
        <v>679</v>
      </c>
      <c r="C3" s="124">
        <v>1</v>
      </c>
      <c r="D3" s="87" t="s">
        <v>5</v>
      </c>
      <c r="E3" s="143"/>
      <c r="F3" s="143"/>
      <c r="H3" s="87"/>
      <c r="I3" s="140">
        <f>IF(AND(Rekenblad!$D$7=1,Rekenblad!$H$28&gt;15,Rekenblad!$H$28&lt;=100),(Q3),IF(AND(Rekenblad!$D$7=2,Rekenblad!$H$28&gt;15,Rekenblad!$H$28&lt;=100),(R3),(IF(AND(Rekenblad!$D$7=3,Rekenblad!$H$28&gt;15,Rekenblad!$H$28&lt;=100),(S3),IF(AND(Rekenblad!$D$7=4,Rekenblad!$H$28&gt;15,Rekenblad!$H$28&lt;=100),(T3),IF(AND(Rekenblad!$D$7=5,Rekenblad!$H$28&gt;15,Rekenblad!$H$28&lt;=100),(U3),0))))))</f>
        <v>0</v>
      </c>
      <c r="J3" s="87"/>
      <c r="K3" s="6">
        <f>IF(AND(Rekenblad!$B$9=1,Rekenblad!$H$28&gt;15,Rekenblad!$H$28&lt;=100),(Rekenblad!$H$28),0)</f>
        <v>0</v>
      </c>
      <c r="L3" s="87"/>
      <c r="O3" s="83" t="s">
        <v>1068</v>
      </c>
      <c r="P3" s="83" t="s">
        <v>1071</v>
      </c>
      <c r="Q3" s="141">
        <f>SUM($L82,$L83,$L86)</f>
        <v>26.66</v>
      </c>
      <c r="R3" s="141">
        <f>SUM($L82,$L89,$L92)</f>
        <v>26.880000000000003</v>
      </c>
      <c r="S3" s="141">
        <f>SUM($L82,$L95,$L98)</f>
        <v>27.55</v>
      </c>
      <c r="T3" s="141">
        <f>SUM($L82,$L101,$L104)</f>
        <v>28.930000000000003</v>
      </c>
      <c r="U3" s="141">
        <f>SUM($L82,$L107,$L110)</f>
        <v>29.39</v>
      </c>
      <c r="AA3" s="142"/>
      <c r="AB3" s="144"/>
      <c r="AC3" s="144"/>
      <c r="AD3" s="144"/>
      <c r="AE3" s="144"/>
      <c r="AF3" s="142"/>
      <c r="AG3" s="144"/>
      <c r="AH3" s="142"/>
      <c r="AI3" s="145" t="s">
        <v>389</v>
      </c>
      <c r="AJ3" s="145"/>
      <c r="AK3" s="146" t="s">
        <v>390</v>
      </c>
      <c r="AL3" s="146"/>
      <c r="AM3" s="146"/>
      <c r="AN3" s="124"/>
    </row>
    <row r="4" spans="1:40" ht="13.5" thickTop="1">
      <c r="A4" s="83">
        <v>2</v>
      </c>
      <c r="B4" s="83" t="s">
        <v>1008</v>
      </c>
      <c r="C4" s="124">
        <v>1</v>
      </c>
      <c r="D4" s="87" t="s">
        <v>12</v>
      </c>
      <c r="H4" s="87"/>
      <c r="I4" s="140">
        <f>IF(AND(Rekenblad!$D$7=1,Rekenblad!$H$28&gt;100),(Q4),IF(AND(Rekenblad!$D$7=2,Rekenblad!$H$28&gt;100),(R4),(IF(AND(Rekenblad!$D$7=3,Rekenblad!$H$28&gt;100),(S4),IF(AND(Rekenblad!$D$7=4,Rekenblad!$H$28&gt;100),(T4),IF(AND(Rekenblad!$D$7=5,Rekenblad!$H$28&gt;100),(U4),0))))))</f>
        <v>0</v>
      </c>
      <c r="J4" s="87"/>
      <c r="K4" s="6">
        <f>IF(AND(Rekenblad!$B$9=1,Rekenblad!$H$28&gt;100),(Rekenblad!$H$28),0)</f>
        <v>0</v>
      </c>
      <c r="L4" s="87"/>
      <c r="O4" s="83" t="s">
        <v>1068</v>
      </c>
      <c r="P4" s="83" t="s">
        <v>1072</v>
      </c>
      <c r="Q4" s="141">
        <f>SUM($M82,$M83,$M86)</f>
        <v>23.740000000000002</v>
      </c>
      <c r="R4" s="141">
        <f>SUM($M82,$M89,$M92)</f>
        <v>23.94</v>
      </c>
      <c r="S4" s="141">
        <f>SUM($M82,$M95,$M98)</f>
        <v>24.53</v>
      </c>
      <c r="T4" s="141">
        <f>SUM($M82,$M101,$M104)</f>
        <v>25.76</v>
      </c>
      <c r="U4" s="141">
        <f>SUM($M82,$M107,$M110)</f>
        <v>26.17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8"/>
    </row>
    <row r="5" spans="1:40">
      <c r="A5" s="83">
        <v>3</v>
      </c>
      <c r="B5" s="83" t="s">
        <v>792</v>
      </c>
      <c r="C5" s="124">
        <v>2</v>
      </c>
      <c r="D5" s="87" t="s">
        <v>3</v>
      </c>
      <c r="H5" s="87"/>
      <c r="I5" s="140">
        <f>IF(AND(Rekenblad!$D$7=1,Rekenblad!$H$28&gt;0.1,Rekenblad!$H$28&lt;=15),(Q5),IF(AND(Rekenblad!$D$7=2,Rekenblad!$H$28&gt;0.1,Rekenblad!$H$28&lt;=15),(R5),(IF(AND(Rekenblad!$D$7=3,Rekenblad!$H$28&gt;0.1,Rekenblad!$H$28&lt;=15),(S5),IF(AND(Rekenblad!$D$7=4,Rekenblad!$H$28&gt;0.1,Rekenblad!$H$28&lt;=15),(T5),IF(AND(Rekenblad!$D$7=5,Rekenblad!$H$28&gt;0.1,Rekenblad!$H$28&lt;=15),(U5),0))))))</f>
        <v>0</v>
      </c>
      <c r="J5" s="87"/>
      <c r="K5" s="6">
        <f>IF(AND(Rekenblad!$B$9=1,Rekenblad!$H$28&gt;0,Rekenblad!$H$28&lt;=15),(1),0)</f>
        <v>0</v>
      </c>
      <c r="L5" s="87"/>
      <c r="O5" s="83" t="s">
        <v>1068</v>
      </c>
      <c r="P5" s="83" t="s">
        <v>1073</v>
      </c>
      <c r="Q5" s="141">
        <f>$K84</f>
        <v>7.74</v>
      </c>
      <c r="R5" s="141">
        <f>$K90</f>
        <v>10.89</v>
      </c>
      <c r="S5" s="141">
        <f>$K96</f>
        <v>20.32</v>
      </c>
      <c r="T5" s="141">
        <f>$K102</f>
        <v>31.21</v>
      </c>
      <c r="U5" s="141">
        <f>$K108</f>
        <v>38.229999999999997</v>
      </c>
      <c r="AA5" s="149" t="s">
        <v>391</v>
      </c>
      <c r="AB5" s="150"/>
      <c r="AC5" s="150"/>
      <c r="AD5" s="150"/>
      <c r="AE5" s="150"/>
      <c r="AF5" s="150"/>
      <c r="AG5" s="150"/>
      <c r="AH5" s="151"/>
      <c r="AI5" s="152"/>
      <c r="AJ5" s="152"/>
      <c r="AK5" s="153"/>
      <c r="AL5" s="152"/>
      <c r="AM5" s="147"/>
    </row>
    <row r="6" spans="1:40">
      <c r="A6" s="83">
        <v>4</v>
      </c>
      <c r="B6" s="83" t="s">
        <v>713</v>
      </c>
      <c r="C6" s="124">
        <v>1</v>
      </c>
      <c r="D6" s="87" t="s">
        <v>13</v>
      </c>
      <c r="H6" s="87"/>
      <c r="I6" s="140">
        <f>IF(AND(Rekenblad!$D$7=1,Rekenblad!$H$28&gt;0.1,Rekenblad!$H$28&lt;=15),(Q6),IF(AND(Rekenblad!$D$7=2,Rekenblad!$H$28&gt;0.1,Rekenblad!$H$28&lt;=15),(R6),(IF(AND(Rekenblad!$D$7=3,Rekenblad!$H$28&gt;0.1,Rekenblad!$H$28&lt;=15),(S6),IF(AND(Rekenblad!$D$7=4,Rekenblad!$H$28&gt;0.1,Rekenblad!$H$28&lt;=15),(T6),IF(AND(Rekenblad!$D$7=5,Rekenblad!$H$28&gt;0.1,Rekenblad!$H$28&lt;=15),(U6),0))))))</f>
        <v>0</v>
      </c>
      <c r="J6" s="87"/>
      <c r="K6" s="6">
        <f>IF(AND(Rekenblad!$B$9=1,Rekenblad!$H$28&gt;0,Rekenblad!$H$28&lt;15),(Rekenblad!$F$28),0)</f>
        <v>0</v>
      </c>
      <c r="L6" s="87"/>
      <c r="O6" s="83" t="s">
        <v>1079</v>
      </c>
      <c r="P6" s="83" t="s">
        <v>1070</v>
      </c>
      <c r="Q6" s="154"/>
      <c r="S6" s="141"/>
      <c r="T6" s="141"/>
      <c r="U6" s="141"/>
      <c r="AA6" s="150"/>
      <c r="AB6" s="150"/>
      <c r="AC6" s="150"/>
      <c r="AD6" s="150"/>
      <c r="AE6" s="150"/>
      <c r="AF6" s="150"/>
      <c r="AG6" s="150"/>
      <c r="AH6" s="151"/>
      <c r="AI6" s="153"/>
      <c r="AJ6" s="152"/>
      <c r="AK6" s="152"/>
      <c r="AL6" s="152"/>
      <c r="AM6" s="147"/>
    </row>
    <row r="7" spans="1:40">
      <c r="A7" s="83">
        <v>5</v>
      </c>
      <c r="B7" s="83" t="s">
        <v>661</v>
      </c>
      <c r="C7" s="124">
        <v>1</v>
      </c>
      <c r="D7" s="87" t="s">
        <v>4</v>
      </c>
      <c r="I7" s="140">
        <f>IF(AND(Rekenblad!$D$7=1,Rekenblad!$H$28&gt;15,Rekenblad!$H$28&lt;=100),(Q7),IF(AND(Rekenblad!$D$7=2,Rekenblad!$H$28&gt;15,Rekenblad!$H$28&lt;=100),(R7),(IF(AND(Rekenblad!$D$7=3,Rekenblad!$H$28&gt;15,Rekenblad!$H$28&lt;=100),(S7),IF(AND(Rekenblad!$D$7=4,Rekenblad!$H$28&gt;15,Rekenblad!$H$28&lt;=100),(T7),IF(AND(Rekenblad!$D$7=5,Rekenblad!$H$28&gt;15,Rekenblad!$H$28&lt;=100),(U7),0))))))</f>
        <v>0</v>
      </c>
      <c r="K7" s="6">
        <f>IF(AND(Rekenblad!$B$9=1,Rekenblad!$H$28&gt;15,Rekenblad!$H$28&lt;=100),(Rekenblad!$F$28),0)</f>
        <v>0</v>
      </c>
      <c r="O7" s="83" t="s">
        <v>1079</v>
      </c>
      <c r="P7" s="83" t="s">
        <v>1071</v>
      </c>
      <c r="Q7" s="141">
        <f>$L85</f>
        <v>2.58</v>
      </c>
      <c r="R7" s="141">
        <f>$L91</f>
        <v>3.62</v>
      </c>
      <c r="S7" s="141">
        <f>$L97</f>
        <v>6.75</v>
      </c>
      <c r="T7" s="141">
        <f>$L103</f>
        <v>13.44</v>
      </c>
      <c r="U7" s="141">
        <f>$L109</f>
        <v>15.67</v>
      </c>
      <c r="AA7" s="155" t="s">
        <v>392</v>
      </c>
      <c r="AB7" s="150"/>
      <c r="AC7" s="150"/>
      <c r="AD7" s="150"/>
      <c r="AE7" s="150"/>
      <c r="AF7" s="150" t="s">
        <v>393</v>
      </c>
      <c r="AG7" s="150" t="s">
        <v>1023</v>
      </c>
      <c r="AH7" s="152"/>
      <c r="AI7" s="152"/>
      <c r="AJ7" s="152"/>
      <c r="AK7" s="152"/>
      <c r="AL7" s="152"/>
      <c r="AM7" s="147"/>
    </row>
    <row r="8" spans="1:40">
      <c r="A8" s="83">
        <v>6</v>
      </c>
      <c r="B8" s="83" t="s">
        <v>839</v>
      </c>
      <c r="C8" s="124">
        <v>5</v>
      </c>
      <c r="D8" s="87" t="s">
        <v>15</v>
      </c>
      <c r="I8" s="140">
        <f>IF(AND(Rekenblad!$D$7=1,Rekenblad!$H$28&gt;100),(Q8),IF(AND(Rekenblad!$D$7=2,Rekenblad!$H$28&gt;100),(R8),(IF(AND(Rekenblad!$D$7=3,Rekenblad!$H$28&gt;100),(S8),IF(AND(Rekenblad!$D$7=4,Rekenblad!$H$28&gt;100),(T8),IF(AND(Rekenblad!$D$7=5,Rekenblad!$H$28&gt;100),(U8),0))))))</f>
        <v>0</v>
      </c>
      <c r="K8" s="6">
        <f>IF(AND(Rekenblad!$B$9=1,Rekenblad!$H$28&gt;=100),(Rekenblad!$F$28),0)</f>
        <v>0</v>
      </c>
      <c r="O8" s="83" t="s">
        <v>1079</v>
      </c>
      <c r="P8" s="83" t="s">
        <v>1072</v>
      </c>
      <c r="Q8" s="141">
        <f>$M85</f>
        <v>2.2999999999999998</v>
      </c>
      <c r="R8" s="141">
        <f>$M91</f>
        <v>3.22</v>
      </c>
      <c r="S8" s="141">
        <f>$M97</f>
        <v>6.01</v>
      </c>
      <c r="T8" s="141">
        <f>$M103</f>
        <v>11.97</v>
      </c>
      <c r="U8" s="141">
        <f>$M109</f>
        <v>13.95</v>
      </c>
      <c r="AA8" s="150"/>
      <c r="AB8" s="150"/>
      <c r="AC8" s="150"/>
      <c r="AD8" s="150"/>
      <c r="AE8" s="150"/>
      <c r="AF8" s="156"/>
      <c r="AG8" s="152"/>
      <c r="AH8" s="152"/>
      <c r="AI8" s="152"/>
      <c r="AJ8" s="157"/>
      <c r="AK8" s="152"/>
      <c r="AL8" s="152"/>
      <c r="AM8" s="147"/>
    </row>
    <row r="9" spans="1:40">
      <c r="A9" s="83">
        <v>7</v>
      </c>
      <c r="B9" s="83" t="s">
        <v>840</v>
      </c>
      <c r="C9" s="124">
        <v>2</v>
      </c>
      <c r="D9" s="87" t="s">
        <v>14</v>
      </c>
      <c r="I9" s="140">
        <f>IF(AND(Rekenblad!$D$7=1,Rekenblad!$E$28&gt;0.1,Rekenblad!$E$28&lt;=15),(Q9),IF(AND(Rekenblad!$D$7=2,Rekenblad!$E$28&gt;0.1,Rekenblad!$E$28&lt;=15),(R9),(IF(AND(Rekenblad!$D$7=3,Rekenblad!$E$28&gt;0.1,Rekenblad!$E$28&lt;=15),(S9),IF(AND(Rekenblad!$D$7=4,Rekenblad!$E$28&gt;0.1,Rekenblad!$E$28&lt;=15),(T9),IF(AND(Rekenblad!$D$7=5,Rekenblad!$E$28&gt;0.1,Rekenblad!$E$28&lt;=15),(U9),0))))))</f>
        <v>0</v>
      </c>
      <c r="K9" s="6">
        <f>IF(AND(Rekenblad!$B$9=1,Rekenblad!$E$28&gt;0,Rekenblad!$E$28&lt;=15),(Rekenblad!$E$28),0)</f>
        <v>0</v>
      </c>
      <c r="O9" s="83" t="s">
        <v>1069</v>
      </c>
      <c r="P9" s="83" t="s">
        <v>1070</v>
      </c>
      <c r="Q9" s="141">
        <f>SUM($N82,$N83,$N86)</f>
        <v>24.970000000000002</v>
      </c>
      <c r="R9" s="141">
        <f>SUM($N82,$N89,$N92)</f>
        <v>25.14</v>
      </c>
      <c r="S9" s="141">
        <f>SUM($N82,$N95,$N98)</f>
        <v>25.650000000000002</v>
      </c>
      <c r="T9" s="141">
        <f>SUM($N82,$N101,$N104)</f>
        <v>26.840000000000003</v>
      </c>
      <c r="U9" s="141">
        <f>SUM($N82,$N107,$N110)</f>
        <v>27.240000000000002</v>
      </c>
      <c r="AA9" s="150" t="s">
        <v>394</v>
      </c>
      <c r="AB9" s="150" t="s">
        <v>395</v>
      </c>
      <c r="AC9" s="150"/>
      <c r="AD9" s="150"/>
      <c r="AE9" s="150"/>
      <c r="AF9" s="158">
        <f>Invoerscherm!E6</f>
        <v>34.68</v>
      </c>
      <c r="AG9" s="150" t="s">
        <v>396</v>
      </c>
      <c r="AH9" s="151"/>
      <c r="AI9" s="153"/>
      <c r="AJ9" s="157"/>
      <c r="AK9" s="159"/>
      <c r="AL9" s="147"/>
      <c r="AM9" s="147"/>
    </row>
    <row r="10" spans="1:40">
      <c r="A10" s="83">
        <v>8</v>
      </c>
      <c r="B10" s="83" t="s">
        <v>793</v>
      </c>
      <c r="C10" s="124">
        <v>1</v>
      </c>
      <c r="D10" s="87" t="s">
        <v>17</v>
      </c>
      <c r="I10" s="140">
        <f>IF(AND(Rekenblad!$D$7=1,Rekenblad!$E$28&gt;15,Rekenblad!$E$28&lt;=100),(Q10),IF(AND(Rekenblad!$D$7=2,Rekenblad!$E$28&gt;15,Rekenblad!$E$28&lt;=100),(R10),(IF(AND(Rekenblad!$D$7=3,Rekenblad!$E$28&gt;15,Rekenblad!$E$28&lt;=100),(S10),IF(AND(Rekenblad!$D$7=4,Rekenblad!$E$28&gt;15,Rekenblad!$E$28&lt;=100),(T10),IF(AND(Rekenblad!$D$7=5,Rekenblad!$E$28&gt;15,Rekenblad!$E$28&lt;=100),(U10),0))))))</f>
        <v>0</v>
      </c>
      <c r="K10" s="6">
        <f>IF(AND(Rekenblad!$B$9=1,Rekenblad!$E$28&gt;15,Rekenblad!$E$28&lt;=100),(Rekenblad!$E$28),0)</f>
        <v>0</v>
      </c>
      <c r="O10" s="83" t="s">
        <v>1069</v>
      </c>
      <c r="P10" s="83" t="s">
        <v>1071</v>
      </c>
      <c r="Q10" s="141">
        <f>SUM($O82,$O83,$O86)</f>
        <v>19.23</v>
      </c>
      <c r="R10" s="141">
        <f>SUM($O82,$O89,$O92)</f>
        <v>19.36</v>
      </c>
      <c r="S10" s="141">
        <f>SUM($O82,$O95,$O98)</f>
        <v>19.759999999999998</v>
      </c>
      <c r="T10" s="141">
        <f>SUM($O82,$O101,$O104)</f>
        <v>20.67</v>
      </c>
      <c r="U10" s="141">
        <f>SUM($O82,$O107,$O110)</f>
        <v>20.98</v>
      </c>
      <c r="AA10" s="150" t="s">
        <v>397</v>
      </c>
      <c r="AB10" s="150" t="s">
        <v>398</v>
      </c>
      <c r="AC10" s="150"/>
      <c r="AD10" s="150"/>
      <c r="AE10" s="150"/>
      <c r="AF10" s="158">
        <f>Invoerscherm!E7</f>
        <v>33</v>
      </c>
      <c r="AG10" s="150" t="s">
        <v>396</v>
      </c>
      <c r="AH10" s="151"/>
      <c r="AI10" s="159"/>
      <c r="AJ10" s="152"/>
      <c r="AK10" s="159"/>
      <c r="AL10" s="157"/>
      <c r="AM10" s="147"/>
    </row>
    <row r="11" spans="1:40">
      <c r="A11" s="83">
        <v>9</v>
      </c>
      <c r="B11" s="83" t="s">
        <v>695</v>
      </c>
      <c r="C11" s="124">
        <v>1</v>
      </c>
      <c r="D11" s="87" t="s">
        <v>1166</v>
      </c>
      <c r="E11" s="102"/>
      <c r="G11" s="119"/>
      <c r="I11" s="140">
        <f>IF(AND(Rekenblad!$D$7=1,Rekenblad!$E$28&gt;100),(Q11),IF(AND(Rekenblad!$D$7=2,Rekenblad!$E$28&gt;100),(R11),(IF(AND(Rekenblad!$D$7=3,Rekenblad!$E$28&gt;100),(S11),IF(AND(Rekenblad!$D$7=4,Rekenblad!$E$28&gt;100),(T11),IF(AND(Rekenblad!$D$7=5,Rekenblad!$E$28&gt;100),(U11),0))))))</f>
        <v>0</v>
      </c>
      <c r="K11" s="6">
        <f>IF(AND(Rekenblad!$B$9=1,Rekenblad!$E$28&gt;100),(Rekenblad!$E$28),0)</f>
        <v>0</v>
      </c>
      <c r="O11" s="83" t="s">
        <v>1069</v>
      </c>
      <c r="P11" s="83" t="s">
        <v>1072</v>
      </c>
      <c r="Q11" s="141">
        <f>SUM($P82,$P83,$P86)</f>
        <v>18.09</v>
      </c>
      <c r="R11" s="141">
        <f>SUM($P82,$P89,$P92)</f>
        <v>18.21</v>
      </c>
      <c r="S11" s="141">
        <f>SUM($P82,$P95,$P98)</f>
        <v>18.580000000000002</v>
      </c>
      <c r="T11" s="141">
        <f>SUM($P82,$P101,$P104)</f>
        <v>19.440000000000001</v>
      </c>
      <c r="U11" s="141">
        <f>SUM($P82,$P107,$P110)</f>
        <v>19.73</v>
      </c>
      <c r="AA11" s="150" t="s">
        <v>399</v>
      </c>
      <c r="AB11" s="150" t="s">
        <v>400</v>
      </c>
      <c r="AC11" s="150"/>
      <c r="AD11" s="150"/>
      <c r="AE11" s="150"/>
      <c r="AF11" s="158">
        <f>Invoerscherm!E8</f>
        <v>9.14</v>
      </c>
      <c r="AG11" s="150" t="s">
        <v>401</v>
      </c>
      <c r="AH11" s="160" t="s">
        <v>402</v>
      </c>
      <c r="AI11" s="161">
        <v>2.5000000000000001E-2</v>
      </c>
      <c r="AJ11" s="152" t="s">
        <v>403</v>
      </c>
      <c r="AK11" s="159"/>
      <c r="AL11" s="157"/>
      <c r="AM11" s="147"/>
    </row>
    <row r="12" spans="1:40">
      <c r="A12" s="83">
        <v>10</v>
      </c>
      <c r="B12" s="83" t="s">
        <v>992</v>
      </c>
      <c r="C12" s="124">
        <v>3</v>
      </c>
      <c r="D12" s="87" t="s">
        <v>18</v>
      </c>
      <c r="I12" s="140">
        <f>IF(AND(Rekenblad!$D$7=1,Rekenblad!$E$28&gt;0.1,Rekenblad!$E$28&lt;=15),(Q12),IF(AND(Rekenblad!$D$7=2,Rekenblad!$E$28&gt;0.1,Rekenblad!$E$28&lt;=15),(R12),(IF(AND(Rekenblad!$D$7=3,Rekenblad!$E$28&gt;0.1,Rekenblad!$E$28&lt;=15),(S12),IF(AND(Rekenblad!$D$7=4,Rekenblad!$E$28&gt;0.1,Rekenblad!$E$28&lt;=15),(T12),IF(AND(Rekenblad!$D$7=5,Rekenblad!$E$28&gt;0.1,Rekenblad!$E$28&lt;=15),(U12),0))))))</f>
        <v>0</v>
      </c>
      <c r="K12" s="6">
        <f>IF(AND(Rekenblad!$B$9=1,Rekenblad!$E$28&gt;0,Rekenblad!$E$28&lt;=15),(1),0)</f>
        <v>0</v>
      </c>
      <c r="O12" s="83" t="s">
        <v>1069</v>
      </c>
      <c r="P12" s="83" t="s">
        <v>1073</v>
      </c>
      <c r="Q12" s="141">
        <f>N84</f>
        <v>0</v>
      </c>
      <c r="R12" s="141">
        <f>$N90</f>
        <v>0.76</v>
      </c>
      <c r="S12" s="141">
        <f>$N96</f>
        <v>3.03</v>
      </c>
      <c r="T12" s="141">
        <f>$N102</f>
        <v>8.7200000000000006</v>
      </c>
      <c r="U12" s="141">
        <f>$N108</f>
        <v>10.61</v>
      </c>
      <c r="AA12" s="150"/>
      <c r="AB12" s="150"/>
      <c r="AC12" s="150"/>
      <c r="AD12" s="150"/>
      <c r="AE12" s="150"/>
      <c r="AF12" s="162" t="s">
        <v>404</v>
      </c>
      <c r="AG12" s="150"/>
      <c r="AH12" s="151"/>
      <c r="AI12" s="152"/>
      <c r="AJ12" s="150" t="s">
        <v>405</v>
      </c>
      <c r="AK12" s="152"/>
      <c r="AL12" s="157"/>
      <c r="AM12" s="147"/>
    </row>
    <row r="13" spans="1:40">
      <c r="A13" s="83">
        <v>11</v>
      </c>
      <c r="B13" s="83" t="s">
        <v>841</v>
      </c>
      <c r="C13" s="124">
        <v>5</v>
      </c>
      <c r="D13" s="87" t="s">
        <v>19</v>
      </c>
      <c r="I13" s="140">
        <f>IF(AND(Rekenblad!$D$7=1,Rekenblad!$H$28&gt;0.1,Rekenblad!$H$28&lt;=15),(Q13),IF(AND(Rekenblad!$D$7=2,Rekenblad!$H$28&gt;0.1,Rekenblad!$H$28&lt;=15),(R13),(IF(AND(Rekenblad!$D$7=3,Rekenblad!$H$28&gt;0.1,Rekenblad!$H$28&lt;=15),(S13),IF(AND(Rekenblad!$D$7=4,Rekenblad!$H$28&gt;0.1,Rekenblad!$H$28&lt;=15),(T13),IF(AND(Rekenblad!$D$7=5,Rekenblad!$H$28&gt;0.1,Rekenblad!$H$28&lt;=15),(U13),0))))))</f>
        <v>0</v>
      </c>
      <c r="K13" s="6">
        <f>IF(AND(Rekenblad!$B$9=1,Rekenblad!$E$28&gt;0,Rekenblad!$E$28&lt;=15),(Rekenblad!$C$28),0)</f>
        <v>0</v>
      </c>
      <c r="O13" s="83" t="s">
        <v>1079</v>
      </c>
      <c r="P13" s="83" t="s">
        <v>1070</v>
      </c>
      <c r="Q13" s="141">
        <f>0*$G$18</f>
        <v>0</v>
      </c>
      <c r="R13" s="141">
        <f>0*$G18</f>
        <v>0</v>
      </c>
      <c r="S13" s="141">
        <f>0*$G18</f>
        <v>0</v>
      </c>
      <c r="T13" s="141">
        <f>0*$G18</f>
        <v>0</v>
      </c>
      <c r="U13" s="141">
        <f>0*$G18</f>
        <v>0</v>
      </c>
      <c r="AA13" s="150"/>
      <c r="AB13" s="150"/>
      <c r="AC13" s="150"/>
      <c r="AD13" s="150"/>
      <c r="AE13" s="150"/>
      <c r="AF13" s="158">
        <f>SUM(AF9:AF11)</f>
        <v>76.820000000000007</v>
      </c>
      <c r="AG13" s="150"/>
      <c r="AH13" s="151"/>
      <c r="AI13" s="152"/>
      <c r="AJ13" s="150"/>
      <c r="AK13" s="152"/>
      <c r="AL13" s="157"/>
      <c r="AM13" s="147"/>
    </row>
    <row r="14" spans="1:40">
      <c r="A14" s="83">
        <v>12</v>
      </c>
      <c r="B14" s="83" t="s">
        <v>912</v>
      </c>
      <c r="C14" s="124">
        <v>1</v>
      </c>
      <c r="D14" s="87" t="s">
        <v>20</v>
      </c>
      <c r="I14" s="140">
        <f>IF(AND(Rekenblad!$D$7=1,Rekenblad!$E$28&gt;15,Rekenblad!$E$28&lt;=100),(Q14),IF(AND(Rekenblad!$D$7=2,Rekenblad!$E$28&gt;15,Rekenblad!$E$28&lt;=100),(R14),(IF(AND(Rekenblad!$D$7=3,Rekenblad!$E$28&gt;15,Rekenblad!$E$28&lt;=100),(S14),IF(AND(Rekenblad!$D$7=4,Rekenblad!$E$28&gt;15,Rekenblad!$E$28&lt;=100),(T14),IF(AND(Rekenblad!$D$7=5,Rekenblad!$E$28&gt;15,Rekenblad!$E$28&lt;=100),(U14),0))))))</f>
        <v>0</v>
      </c>
      <c r="K14" s="6">
        <f>IF(AND(Rekenblad!$B$9=1,Rekenblad!$E$28&gt;15,Rekenblad!$E$28&lt;=100),(Rekenblad!$C$28),0)</f>
        <v>0</v>
      </c>
      <c r="O14" s="83" t="s">
        <v>1079</v>
      </c>
      <c r="P14" s="83" t="s">
        <v>1071</v>
      </c>
      <c r="Q14" s="141">
        <f>O85</f>
        <v>0</v>
      </c>
      <c r="R14" s="141">
        <f>$O91</f>
        <v>0.15</v>
      </c>
      <c r="S14" s="141">
        <f>$O97</f>
        <v>0.57999999999999996</v>
      </c>
      <c r="T14" s="141">
        <f>$O103</f>
        <v>7.15</v>
      </c>
      <c r="U14" s="141">
        <f>$O109</f>
        <v>9.34</v>
      </c>
      <c r="AA14" s="150" t="s">
        <v>406</v>
      </c>
      <c r="AB14" s="150"/>
      <c r="AC14" s="150"/>
      <c r="AD14" s="150"/>
      <c r="AE14" s="163">
        <f>12/100</f>
        <v>0.12</v>
      </c>
      <c r="AF14" s="158">
        <f>ROUND(AE14*AF13,2)</f>
        <v>9.2200000000000006</v>
      </c>
      <c r="AG14" s="150"/>
      <c r="AH14" s="151"/>
      <c r="AI14" s="152"/>
      <c r="AJ14" s="152"/>
      <c r="AK14" s="152"/>
      <c r="AL14" s="152"/>
      <c r="AM14" s="147"/>
    </row>
    <row r="15" spans="1:40">
      <c r="A15" s="83">
        <v>13</v>
      </c>
      <c r="B15" s="83" t="s">
        <v>662</v>
      </c>
      <c r="C15" s="124">
        <v>1</v>
      </c>
      <c r="D15" s="87" t="s">
        <v>21</v>
      </c>
      <c r="I15" s="140">
        <f>IF(AND(Rekenblad!$D$7=1,Rekenblad!$E$28&gt;100),(Q15),IF(AND(Rekenblad!$D$7=2,Rekenblad!$E$28&gt;100),(R15),(IF(AND(Rekenblad!$D$7=3,Rekenblad!$E$28&gt;100),(S15),IF(AND(Rekenblad!$D$7=4,Rekenblad!$E$28&gt;100),(T15),IF(AND(Rekenblad!$D$7=5,Rekenblad!$E$28&gt;100),(U15),0))))))</f>
        <v>0</v>
      </c>
      <c r="K15" s="6">
        <f>IF(AND(Rekenblad!$B$9=1,Rekenblad!$E$28&gt;100),(Rekenblad!$C$28),0)</f>
        <v>0</v>
      </c>
      <c r="O15" s="83" t="s">
        <v>1079</v>
      </c>
      <c r="P15" s="83" t="s">
        <v>1072</v>
      </c>
      <c r="Q15" s="141">
        <f>0*$G$18</f>
        <v>0</v>
      </c>
      <c r="R15" s="141">
        <f>$P91</f>
        <v>0.14000000000000001</v>
      </c>
      <c r="S15" s="141">
        <f>$P97</f>
        <v>0.55000000000000004</v>
      </c>
      <c r="T15" s="141">
        <f>$P103</f>
        <v>6.73</v>
      </c>
      <c r="U15" s="141">
        <f>$P109</f>
        <v>8.7899999999999991</v>
      </c>
      <c r="AA15" s="150"/>
      <c r="AB15" s="150"/>
      <c r="AC15" s="150"/>
      <c r="AD15" s="150"/>
      <c r="AE15" s="150"/>
      <c r="AF15" s="162" t="s">
        <v>407</v>
      </c>
      <c r="AG15" s="150"/>
      <c r="AH15" s="151"/>
      <c r="AI15" s="152"/>
      <c r="AJ15" s="152"/>
      <c r="AK15" s="147"/>
      <c r="AL15" s="152"/>
      <c r="AM15" s="147"/>
    </row>
    <row r="16" spans="1:40">
      <c r="A16" s="83">
        <v>14</v>
      </c>
      <c r="B16" s="83" t="s">
        <v>759</v>
      </c>
      <c r="C16" s="124">
        <v>1</v>
      </c>
      <c r="D16" s="87" t="s">
        <v>22</v>
      </c>
      <c r="I16" s="140"/>
      <c r="K16" s="6"/>
      <c r="S16" s="141"/>
      <c r="T16" s="141"/>
      <c r="U16" s="141"/>
      <c r="AA16" s="150"/>
      <c r="AB16" s="150"/>
      <c r="AC16" s="147"/>
      <c r="AD16" s="150" t="s">
        <v>408</v>
      </c>
      <c r="AE16" s="150"/>
      <c r="AF16" s="158">
        <f>SUM(AF13:AF14)</f>
        <v>86.04</v>
      </c>
      <c r="AG16" s="150" t="s">
        <v>409</v>
      </c>
      <c r="AH16" s="151"/>
      <c r="AI16" s="82">
        <f>ROUND(AF16/2,2)</f>
        <v>43.02</v>
      </c>
      <c r="AJ16" s="150" t="s">
        <v>405</v>
      </c>
      <c r="AK16" s="147"/>
      <c r="AL16" s="150" t="s">
        <v>405</v>
      </c>
      <c r="AM16" s="157"/>
    </row>
    <row r="17" spans="1:39">
      <c r="A17" s="83">
        <v>15</v>
      </c>
      <c r="B17" s="83" t="s">
        <v>794</v>
      </c>
      <c r="C17" s="124">
        <v>5</v>
      </c>
      <c r="D17" s="87" t="s">
        <v>23</v>
      </c>
      <c r="I17" s="140"/>
      <c r="K17" s="6"/>
      <c r="N17" s="134" t="s">
        <v>686</v>
      </c>
      <c r="O17" s="87"/>
      <c r="AA17" s="150"/>
      <c r="AB17" s="150"/>
      <c r="AC17" s="147"/>
      <c r="AD17" s="150"/>
      <c r="AE17" s="150"/>
      <c r="AF17" s="164"/>
      <c r="AG17" s="150"/>
      <c r="AH17" s="151"/>
      <c r="AI17" s="147"/>
      <c r="AJ17" s="150"/>
      <c r="AK17" s="147"/>
      <c r="AL17" s="150"/>
      <c r="AM17" s="157"/>
    </row>
    <row r="18" spans="1:39">
      <c r="A18" s="83">
        <v>16</v>
      </c>
      <c r="B18" s="83" t="s">
        <v>795</v>
      </c>
      <c r="C18" s="124">
        <v>3</v>
      </c>
      <c r="D18" s="87" t="s">
        <v>24</v>
      </c>
      <c r="G18" s="165"/>
      <c r="I18" s="140">
        <f>IF(AND(Rekenblad!$D$7=1,Rekenblad!$H$28&gt;0.1,Rekenblad!$H$28&lt;=15),(Q18),IF(AND(Rekenblad!$D$7=2,Rekenblad!$H$28&gt;0.1,Rekenblad!$H$28&lt;=15),(R18),(IF(AND(Rekenblad!$D$7=3,Rekenblad!$H$28&gt;0.1,Rekenblad!$H$28&lt;=15),(S18),IF(AND(Rekenblad!$D$7=4,Rekenblad!$H$28&gt;0.1,Rekenblad!$H$28&lt;=15),(T18),IF(AND(Rekenblad!$D$7=5,Rekenblad!$H$28&gt;0.1,Rekenblad!$H$28&lt;=15),(U18),0))))))</f>
        <v>0</v>
      </c>
      <c r="K18" s="6">
        <f>IF(AND(Rekenblad!$B$9&gt;=2,Rekenblad!$B$9&lt;=3,Rekenblad!$H$28&gt;0,Rekenblad!$H$28&lt;=15),(1),0)</f>
        <v>0</v>
      </c>
      <c r="O18" s="83" t="s">
        <v>687</v>
      </c>
      <c r="P18" s="83" t="s">
        <v>1073</v>
      </c>
      <c r="Q18" s="141">
        <f>$P115</f>
        <v>7.74</v>
      </c>
      <c r="R18" s="141">
        <f>$P121</f>
        <v>10.89</v>
      </c>
      <c r="S18" s="141">
        <f>$P127</f>
        <v>20.32</v>
      </c>
      <c r="T18" s="141">
        <f>$P133</f>
        <v>31.21</v>
      </c>
      <c r="U18" s="141">
        <f>$P138</f>
        <v>38.229999999999997</v>
      </c>
      <c r="AA18" s="150"/>
      <c r="AB18" s="150"/>
      <c r="AC18" s="150"/>
      <c r="AD18" s="150"/>
      <c r="AE18" s="150"/>
      <c r="AF18" s="151"/>
      <c r="AG18" s="150"/>
      <c r="AH18" s="151"/>
      <c r="AI18" s="152"/>
      <c r="AJ18" s="152"/>
      <c r="AK18" s="152"/>
      <c r="AL18" s="147"/>
      <c r="AM18" s="147"/>
    </row>
    <row r="19" spans="1:39">
      <c r="A19" s="83">
        <v>17</v>
      </c>
      <c r="B19" s="83" t="s">
        <v>716</v>
      </c>
      <c r="C19" s="124">
        <v>1</v>
      </c>
      <c r="D19" s="87" t="s">
        <v>25</v>
      </c>
      <c r="I19" s="140">
        <f>IF(AND(Rekenblad!$D$7=1,Rekenblad!$H$28&gt;15),(Q19),IF(AND(Rekenblad!$D$7=2,Rekenblad!$H$28&gt;15),(R19),(IF(AND(Rekenblad!$D$7=3,Rekenblad!$H$28&gt;15),(S19),IF(AND(Rekenblad!$D$7=4,Rekenblad!$H$28&gt;15),(T19),IF(AND(Rekenblad!$D$7=5,Rekenblad!$H$28&gt;15),(U19),0))))))</f>
        <v>0</v>
      </c>
      <c r="K19" s="6">
        <f>IF(AND(Rekenblad!$B$9&gt;=2,Rekenblad!$B$9&lt;=3,Rekenblad!$H$28&gt;15),(Rekenblad!$F$28),0)</f>
        <v>0</v>
      </c>
      <c r="O19" s="83" t="s">
        <v>687</v>
      </c>
      <c r="P19" s="83" t="s">
        <v>1071</v>
      </c>
      <c r="Q19" s="141">
        <f>$P117</f>
        <v>2.58</v>
      </c>
      <c r="R19" s="141">
        <f>$P123</f>
        <v>3.62</v>
      </c>
      <c r="S19" s="141">
        <f>$P129</f>
        <v>6.75</v>
      </c>
      <c r="T19" s="141">
        <f>$P135</f>
        <v>13.44</v>
      </c>
      <c r="U19" s="141">
        <f>$P140</f>
        <v>15.67</v>
      </c>
      <c r="AA19" s="155" t="s">
        <v>410</v>
      </c>
      <c r="AB19" s="150"/>
      <c r="AC19" s="150"/>
      <c r="AD19" s="150" t="s">
        <v>411</v>
      </c>
      <c r="AE19" s="150" t="s">
        <v>412</v>
      </c>
      <c r="AF19" s="150" t="s">
        <v>413</v>
      </c>
      <c r="AG19" s="150" t="s">
        <v>414</v>
      </c>
      <c r="AH19" s="150"/>
      <c r="AI19" s="150"/>
      <c r="AJ19" s="150" t="s">
        <v>415</v>
      </c>
      <c r="AK19" s="152"/>
      <c r="AL19" s="157"/>
      <c r="AM19" s="147"/>
    </row>
    <row r="20" spans="1:39">
      <c r="A20" s="83">
        <v>18</v>
      </c>
      <c r="B20" s="83" t="s">
        <v>635</v>
      </c>
      <c r="C20" s="124">
        <v>5</v>
      </c>
      <c r="D20" s="87" t="s">
        <v>1096</v>
      </c>
      <c r="I20" s="140">
        <f>IF(AND(Rekenblad!$D$7=1,Rekenblad!$E$28&gt;0.1,Rekenblad!$E$28&lt;=15),(Q20),IF(AND(Rekenblad!$D$7=2,Rekenblad!$E$28&gt;0.1,Rekenblad!$E$28&lt;=15),(R20),(IF(AND(Rekenblad!$D$7=3,Rekenblad!$E$28&gt;0.1,Rekenblad!$E$28&lt;=15),(S20),IF(AND(Rekenblad!$D$7=4,Rekenblad!$E$28&gt;0.1,Rekenblad!$E$28&lt;=15),(T20),IF(AND(Rekenblad!$D$7=5,Rekenblad!$E$28&gt;0.1,Rekenblad!$E$28&lt;=15),(U20),0))))))</f>
        <v>0</v>
      </c>
      <c r="K20" s="6">
        <f>IF(AND(Rekenblad!$B$9&gt;=2,Rekenblad!$B$9&lt;=3,Rekenblad!$E$28&gt;0,Rekenblad!$E$28&lt;=15),(1),0)</f>
        <v>0</v>
      </c>
      <c r="O20" s="83" t="s">
        <v>688</v>
      </c>
      <c r="P20" s="83" t="s">
        <v>1073</v>
      </c>
      <c r="Q20" s="141">
        <f>$P116</f>
        <v>0</v>
      </c>
      <c r="R20" s="141">
        <f>$P122</f>
        <v>0.76</v>
      </c>
      <c r="S20" s="141">
        <f>$P128</f>
        <v>3.03</v>
      </c>
      <c r="T20" s="141">
        <f>$P134</f>
        <v>8.7200000000000006</v>
      </c>
      <c r="U20" s="141">
        <f>$P139</f>
        <v>10.61</v>
      </c>
      <c r="AA20" s="150" t="s">
        <v>416</v>
      </c>
      <c r="AB20" s="166">
        <f>15/100</f>
        <v>0.15</v>
      </c>
      <c r="AC20" s="150"/>
      <c r="AD20" s="166" t="s">
        <v>1041</v>
      </c>
      <c r="AE20" s="150" t="s">
        <v>417</v>
      </c>
      <c r="AF20" s="150" t="s">
        <v>1041</v>
      </c>
      <c r="AG20" s="166" t="s">
        <v>418</v>
      </c>
      <c r="AH20" s="166"/>
      <c r="AI20" s="166"/>
      <c r="AJ20" s="150" t="s">
        <v>423</v>
      </c>
      <c r="AK20" s="150"/>
      <c r="AL20" s="166"/>
      <c r="AM20" s="147"/>
    </row>
    <row r="21" spans="1:39">
      <c r="A21" s="83">
        <v>19</v>
      </c>
      <c r="B21" s="83" t="s">
        <v>717</v>
      </c>
      <c r="C21" s="124">
        <v>1</v>
      </c>
      <c r="D21" s="87" t="s">
        <v>26</v>
      </c>
      <c r="I21" s="140">
        <f>IF(AND(Rekenblad!$D$7=1,Rekenblad!$E$28&gt;15),(Q21),IF(AND(Rekenblad!$D$7=2,Rekenblad!$E$28&gt;15),(R21),(IF(AND(Rekenblad!$D$7=3,Rekenblad!$E$28&gt;15),(S21),IF(AND(Rekenblad!$D$7=4,Rekenblad!$E$28&gt;15),(T21),IF(AND(Rekenblad!$D$7=5,Rekenblad!$E$28&gt;15),(U21),0))))))</f>
        <v>0</v>
      </c>
      <c r="K21" s="6">
        <f>IF(AND(Rekenblad!$B$9&gt;=2,Rekenblad!$B$9&lt;=3,Rekenblad!$E$28&gt;15),(Rekenblad!$C$28),0)</f>
        <v>0</v>
      </c>
      <c r="O21" s="83" t="s">
        <v>688</v>
      </c>
      <c r="P21" s="83" t="s">
        <v>1071</v>
      </c>
      <c r="Q21" s="141">
        <f>$P118</f>
        <v>0</v>
      </c>
      <c r="R21" s="141">
        <f>$P124</f>
        <v>0.15</v>
      </c>
      <c r="S21" s="141">
        <f>$P130</f>
        <v>0.57999999999999996</v>
      </c>
      <c r="T21" s="141">
        <f>$P136</f>
        <v>7.15</v>
      </c>
      <c r="U21" s="141">
        <f>$P141</f>
        <v>9.34</v>
      </c>
      <c r="AA21" s="150"/>
      <c r="AB21" s="150"/>
      <c r="AC21" s="150"/>
      <c r="AD21" s="147"/>
      <c r="AE21" s="150"/>
      <c r="AF21" s="150"/>
      <c r="AG21" s="150"/>
      <c r="AH21" s="150"/>
      <c r="AI21" s="150"/>
      <c r="AJ21" s="150"/>
      <c r="AK21" s="152"/>
      <c r="AL21" s="152"/>
      <c r="AM21" s="147"/>
    </row>
    <row r="22" spans="1:39">
      <c r="A22" s="83">
        <v>20</v>
      </c>
      <c r="B22" s="83" t="s">
        <v>680</v>
      </c>
      <c r="C22" s="124">
        <v>1</v>
      </c>
      <c r="D22" s="87" t="s">
        <v>1086</v>
      </c>
      <c r="I22" s="140">
        <f>IF(AND(Rekenblad!$D$7=1,Rekenblad!$H$28&gt;0.1,Rekenblad!$H$28&lt;=15),(Q22),IF(AND(Rekenblad!$D$7=2,Rekenblad!$H$28&gt;0.1,Rekenblad!$H$28&lt;=15),(R22),(IF(AND(Rekenblad!$D$7=3,Rekenblad!$H$28&gt;0.1,Rekenblad!$H$28&lt;=15),(S22),IF(AND(Rekenblad!$D$7=4,Rekenblad!$H$28&gt;0.1,Rekenblad!$H$28&lt;=15),(T22),IF(AND(Rekenblad!$D$7=5,Rekenblad!$H$28&gt;0.1,Rekenblad!$H$28&lt;=15),(U22),0))))))</f>
        <v>0</v>
      </c>
      <c r="K22" s="6">
        <f>IF(AND(Rekenblad!$B$9&gt;=2,Rekenblad!$B9&lt;=3,Rekenblad!$H$28&gt;0,Rekenblad!$H$28&lt;=15),(Rekenblad!$H$28),0)</f>
        <v>0</v>
      </c>
      <c r="O22" s="83" t="s">
        <v>689</v>
      </c>
      <c r="P22" s="83" t="s">
        <v>1070</v>
      </c>
      <c r="Q22" s="141">
        <f>$L115</f>
        <v>1.72</v>
      </c>
      <c r="R22" s="141">
        <f>$L121</f>
        <v>1.72</v>
      </c>
      <c r="S22" s="141">
        <f>$L127</f>
        <v>1.72</v>
      </c>
      <c r="T22" s="141">
        <f>$L133</f>
        <v>1.72</v>
      </c>
      <c r="U22" s="141">
        <f>$L138</f>
        <v>1.72</v>
      </c>
      <c r="AA22" s="150" t="s">
        <v>424</v>
      </c>
      <c r="AB22" s="167" t="s">
        <v>425</v>
      </c>
      <c r="AC22" s="168"/>
      <c r="AD22" s="158">
        <f>((AG22*AI22/1000*100)+(AG23*AI23/1000*50)+(AG24*AI24/1000*44))*1.15</f>
        <v>26.714040000000004</v>
      </c>
      <c r="AE22" s="166">
        <v>0.05</v>
      </c>
      <c r="AF22" s="158">
        <f>ROUND(AE22*AD22,2)</f>
        <v>1.34</v>
      </c>
      <c r="AG22" s="166">
        <v>0.2</v>
      </c>
      <c r="AH22" s="169" t="s">
        <v>426</v>
      </c>
      <c r="AI22" s="158">
        <f>Invoerscherm!E13</f>
        <v>485</v>
      </c>
      <c r="AJ22" s="166">
        <v>0.95</v>
      </c>
      <c r="AK22" s="150" t="s">
        <v>427</v>
      </c>
      <c r="AL22" s="158">
        <f>Invoerscherm!E20</f>
        <v>8.0299999999999994</v>
      </c>
      <c r="AM22" s="147"/>
    </row>
    <row r="23" spans="1:39">
      <c r="A23" s="83">
        <v>21</v>
      </c>
      <c r="B23" s="83" t="s">
        <v>913</v>
      </c>
      <c r="C23" s="124">
        <v>1</v>
      </c>
      <c r="D23" s="87" t="s">
        <v>27</v>
      </c>
      <c r="I23" s="140">
        <f>IF(AND(Rekenblad!$D$7=1,Rekenblad!$H$28&gt;15),(Q23),IF(AND(Rekenblad!$D$7=2,Rekenblad!$H$28&gt;15),(R23),(IF(AND(Rekenblad!$D$7=3,Rekenblad!$H$28&gt;15),(S23),IF(AND(Rekenblad!$D$7=4,Rekenblad!$H$28&gt;15),(T23),IF(AND(Rekenblad!$D$7=5,Rekenblad!$H$28&gt;15),(U23),0))))))</f>
        <v>0</v>
      </c>
      <c r="K23" s="6">
        <f>IF(AND(Rekenblad!$B$9&gt;=2,Rekenblad!$B$9&lt;=3,Rekenblad!$H$28&gt;15),(Rekenblad!$H$28),0)</f>
        <v>0</v>
      </c>
      <c r="O23" s="83" t="s">
        <v>689</v>
      </c>
      <c r="P23" s="83" t="s">
        <v>1071</v>
      </c>
      <c r="Q23" s="141">
        <f>$L117</f>
        <v>1.41</v>
      </c>
      <c r="R23" s="141">
        <f>$L123</f>
        <v>1.41</v>
      </c>
      <c r="S23" s="141">
        <f>$L129</f>
        <v>1.41</v>
      </c>
      <c r="T23" s="141">
        <f>$L135</f>
        <v>1.41</v>
      </c>
      <c r="U23" s="141">
        <f>$L140</f>
        <v>1.41</v>
      </c>
      <c r="AA23" s="150" t="s">
        <v>428</v>
      </c>
      <c r="AB23" s="167" t="s">
        <v>429</v>
      </c>
      <c r="AC23" s="170"/>
      <c r="AD23" s="158">
        <f>((AJ22*AL22)+(AJ23*AL23))*1.15</f>
        <v>9.4369000000000014</v>
      </c>
      <c r="AE23" s="166">
        <v>0.05</v>
      </c>
      <c r="AF23" s="158">
        <f>ROUND(AE23*AD23,2)</f>
        <v>0.47</v>
      </c>
      <c r="AG23" s="166">
        <v>0.2</v>
      </c>
      <c r="AH23" s="151" t="s">
        <v>430</v>
      </c>
      <c r="AI23" s="158">
        <f>Invoerscherm!E14</f>
        <v>722</v>
      </c>
      <c r="AJ23" s="166">
        <v>0.05</v>
      </c>
      <c r="AK23" s="150" t="s">
        <v>431</v>
      </c>
      <c r="AL23" s="158">
        <f>Invoerscherm!E21</f>
        <v>11.55</v>
      </c>
      <c r="AM23" s="171"/>
    </row>
    <row r="24" spans="1:39">
      <c r="A24" s="83">
        <v>22</v>
      </c>
      <c r="B24" s="83" t="s">
        <v>914</v>
      </c>
      <c r="C24" s="124">
        <v>1</v>
      </c>
      <c r="D24" s="87" t="s">
        <v>28</v>
      </c>
      <c r="I24" s="140">
        <f>IF(AND(Rekenblad!$D$7=1,Rekenblad!$E$28&gt;0.1,Rekenblad!$E$28&lt;=15),(Q24),IF(AND(Rekenblad!$D$7=2,Rekenblad!$E$28&gt;0.1,Rekenblad!$E$28&lt;=15),(R24),(IF(AND(Rekenblad!$D$7=3,Rekenblad!$E$28&gt;0.1,Rekenblad!$E$28&lt;=15),(S24),IF(AND(Rekenblad!$D$7=4,Rekenblad!$E$28&gt;0.1,Rekenblad!$E$28&lt;=15),(T24),IF(AND(Rekenblad!$D$7=5,Rekenblad!$E$28&gt;0.1,Rekenblad!$E$28&lt;=15),(U24),0))))))</f>
        <v>0</v>
      </c>
      <c r="K24" s="6">
        <f>IF(AND(Rekenblad!$E$28&gt;0,Rekenblad!$E$28&lt;=15),(Rekenblad!$E$28),0)</f>
        <v>0</v>
      </c>
      <c r="O24" s="83" t="s">
        <v>690</v>
      </c>
      <c r="P24" s="83" t="s">
        <v>1070</v>
      </c>
      <c r="Q24" s="141">
        <f>$L116</f>
        <v>1.35</v>
      </c>
      <c r="R24" s="141">
        <f>$L122</f>
        <v>1.35</v>
      </c>
      <c r="S24" s="141">
        <f>$L128</f>
        <v>1.35</v>
      </c>
      <c r="T24" s="141">
        <f>$L134</f>
        <v>1.35</v>
      </c>
      <c r="U24" s="141">
        <f>$L139</f>
        <v>1.35</v>
      </c>
      <c r="AA24" s="150" t="s">
        <v>432</v>
      </c>
      <c r="AB24" s="167" t="s">
        <v>433</v>
      </c>
      <c r="AC24" s="170"/>
      <c r="AD24" s="158">
        <f>AL24*(1+AB20)</f>
        <v>12.19</v>
      </c>
      <c r="AE24" s="166">
        <v>0.05</v>
      </c>
      <c r="AF24" s="158">
        <f>ROUND(AE24*AD24,2)</f>
        <v>0.61</v>
      </c>
      <c r="AG24" s="166">
        <v>0.6</v>
      </c>
      <c r="AH24" s="151" t="s">
        <v>434</v>
      </c>
      <c r="AI24" s="158">
        <f>Invoerscherm!E17</f>
        <v>239</v>
      </c>
      <c r="AJ24" s="150"/>
      <c r="AK24" s="150" t="s">
        <v>435</v>
      </c>
      <c r="AL24" s="158">
        <f>Invoerscherm!E24</f>
        <v>10.6</v>
      </c>
      <c r="AM24" s="147"/>
    </row>
    <row r="25" spans="1:39">
      <c r="A25" s="83">
        <v>23</v>
      </c>
      <c r="B25" s="83" t="s">
        <v>760</v>
      </c>
      <c r="C25" s="124">
        <v>1</v>
      </c>
      <c r="D25" s="87" t="s">
        <v>29</v>
      </c>
      <c r="I25" s="140">
        <f>IF(AND(Rekenblad!$D$7=1,Rekenblad!$E$28&gt;15),(Q25),IF(AND(Rekenblad!$D$7=2,Rekenblad!$E$28&gt;15),(R25),(IF(AND(Rekenblad!$D$7=3,Rekenblad!$E$28&gt;15),(S25),IF(AND(Rekenblad!$D$7=4,Rekenblad!$E$28&gt;15),(T25),IF(AND(Rekenblad!$D$7=5,Rekenblad!$E$28&gt;15),(U25),0))))))</f>
        <v>0</v>
      </c>
      <c r="K25" s="6">
        <f>IF(AND(Rekenblad!$B$9&gt;=2,Rekenblad!$B$9&lt;=3,Rekenblad!$E$28&gt;15),(Rekenblad!$E$28),0)</f>
        <v>0</v>
      </c>
      <c r="O25" s="83" t="s">
        <v>690</v>
      </c>
      <c r="P25" s="83" t="s">
        <v>1071</v>
      </c>
      <c r="Q25" s="141">
        <f>$L118</f>
        <v>1.04</v>
      </c>
      <c r="R25" s="141">
        <f>$L124</f>
        <v>1.04</v>
      </c>
      <c r="S25" s="141">
        <f>$L130</f>
        <v>1.04</v>
      </c>
      <c r="T25" s="141">
        <f>$L136</f>
        <v>1.04</v>
      </c>
      <c r="U25" s="141">
        <f>$L141</f>
        <v>1.04</v>
      </c>
      <c r="AA25" s="172"/>
      <c r="AB25" s="167"/>
      <c r="AC25" s="147"/>
      <c r="AD25" s="147"/>
      <c r="AE25" s="147"/>
      <c r="AF25" s="147"/>
      <c r="AG25" s="166"/>
      <c r="AH25" s="151"/>
      <c r="AI25" s="150"/>
      <c r="AJ25" s="150"/>
      <c r="AK25" s="173"/>
      <c r="AL25" s="152"/>
      <c r="AM25" s="174"/>
    </row>
    <row r="26" spans="1:39">
      <c r="A26" s="83">
        <v>24</v>
      </c>
      <c r="B26" s="83" t="s">
        <v>842</v>
      </c>
      <c r="C26" s="124">
        <v>5</v>
      </c>
      <c r="D26" s="87" t="s">
        <v>30</v>
      </c>
      <c r="I26" s="140"/>
      <c r="K26" s="6"/>
      <c r="AA26" s="155" t="s">
        <v>436</v>
      </c>
      <c r="AB26" s="152"/>
      <c r="AC26" s="152"/>
      <c r="AD26" s="152"/>
      <c r="AE26" s="152"/>
      <c r="AF26" s="152"/>
      <c r="AG26" s="152"/>
      <c r="AH26" s="152"/>
      <c r="AI26" s="150"/>
      <c r="AJ26" s="152"/>
      <c r="AK26" s="152"/>
      <c r="AL26" s="152"/>
      <c r="AM26" s="147"/>
    </row>
    <row r="27" spans="1:39">
      <c r="A27" s="83">
        <v>25</v>
      </c>
      <c r="B27" s="83" t="s">
        <v>718</v>
      </c>
      <c r="C27" s="124">
        <v>1</v>
      </c>
      <c r="D27" s="87" t="s">
        <v>31</v>
      </c>
      <c r="I27" s="140"/>
      <c r="N27" s="134" t="s">
        <v>462</v>
      </c>
      <c r="AA27" s="155" t="s">
        <v>437</v>
      </c>
      <c r="AB27" s="150"/>
      <c r="AC27" s="150"/>
      <c r="AD27" s="150" t="s">
        <v>438</v>
      </c>
      <c r="AE27" s="150" t="s">
        <v>439</v>
      </c>
      <c r="AF27" s="150" t="s">
        <v>440</v>
      </c>
      <c r="AG27" s="151"/>
      <c r="AH27" s="150"/>
      <c r="AI27" s="150"/>
      <c r="AJ27" s="152"/>
      <c r="AK27" s="152"/>
      <c r="AL27" s="150"/>
      <c r="AM27" s="147"/>
    </row>
    <row r="28" spans="1:39">
      <c r="A28" s="83">
        <v>26</v>
      </c>
      <c r="B28" s="83" t="s">
        <v>636</v>
      </c>
      <c r="C28" s="124">
        <v>5</v>
      </c>
      <c r="D28" s="87" t="s">
        <v>1098</v>
      </c>
      <c r="I28" s="140">
        <f>IF(AND(Rekenblad!$D$7=1,Rekenblad!$H$28&gt;0.1,Rekenblad!$H$28&lt;=15),(Q28),IF(AND(Rekenblad!$D$7=2,Rekenblad!$H$28&gt;0.1,Rekenblad!$H$28&lt;=15),(R28),(IF(AND(Rekenblad!$D$7=3,Rekenblad!$H$28&gt;0.1,Rekenblad!$H$28&lt;=15),(S28),IF(AND(Rekenblad!$D$7=4,Rekenblad!$H$28&gt;0.1,Rekenblad!$H$28&lt;=15),(T28),IF(AND(Rekenblad!$D$7=5,Rekenblad!$H$28&gt;0.1,Rekenblad!$H$28&lt;=15),(U28),0))))))</f>
        <v>0</v>
      </c>
      <c r="K28" s="6">
        <f>IF(AND(Rekenblad!$B$9=3,Rekenblad!$H$28&gt;0,Rekenblad!$H$28&lt;=15),(Rekenblad!$H$28),0)</f>
        <v>0</v>
      </c>
      <c r="O28" s="83" t="s">
        <v>1192</v>
      </c>
      <c r="P28" s="83" t="s">
        <v>1070</v>
      </c>
      <c r="Q28" s="141">
        <f>$K83</f>
        <v>2.12</v>
      </c>
      <c r="R28" s="141">
        <f>$K89</f>
        <v>2.39</v>
      </c>
      <c r="S28" s="141">
        <f>$K95</f>
        <v>3.21</v>
      </c>
      <c r="T28" s="141">
        <f>$K101</f>
        <v>4.8899999999999997</v>
      </c>
      <c r="U28" s="141">
        <f>$K107</f>
        <v>5.45</v>
      </c>
      <c r="AA28" s="150" t="s">
        <v>441</v>
      </c>
      <c r="AB28" s="150"/>
      <c r="AC28" s="150"/>
      <c r="AD28" s="150" t="s">
        <v>442</v>
      </c>
      <c r="AE28" s="150" t="s">
        <v>443</v>
      </c>
      <c r="AF28" s="151" t="s">
        <v>444</v>
      </c>
      <c r="AG28" s="151"/>
      <c r="AH28" s="151" t="s">
        <v>445</v>
      </c>
      <c r="AI28" s="150"/>
      <c r="AJ28" s="152"/>
      <c r="AK28" s="152"/>
      <c r="AL28" s="150"/>
      <c r="AM28" s="147"/>
    </row>
    <row r="29" spans="1:39">
      <c r="A29" s="83">
        <v>27</v>
      </c>
      <c r="B29" s="83" t="s">
        <v>969</v>
      </c>
      <c r="C29" s="124">
        <v>1</v>
      </c>
      <c r="D29" s="87" t="s">
        <v>32</v>
      </c>
      <c r="I29" s="140">
        <f>IF(AND(Rekenblad!$D$7=1,Rekenblad!$H$28&gt;15),(Q29),IF(AND(Rekenblad!$D$7=2,Rekenblad!$H$28&gt;15),(R29),(IF(AND(Rekenblad!$D$7=3,Rekenblad!$H$28&gt;15),(S29),IF(AND(Rekenblad!$D$7=4,Rekenblad!$H$28&gt;15),(T29),IF(AND(Rekenblad!$D$7=5,Rekenblad!$H$28&gt;15),(U29),0))))))</f>
        <v>0</v>
      </c>
      <c r="K29" s="6">
        <f>IF(AND(Rekenblad!$B$9=3,Rekenblad!$H$28&gt;15),(Rekenblad!$H$28),0)</f>
        <v>0</v>
      </c>
      <c r="O29" s="83" t="s">
        <v>1192</v>
      </c>
      <c r="P29" s="83" t="s">
        <v>1071</v>
      </c>
      <c r="Q29" s="141">
        <f>$L83</f>
        <v>1.74</v>
      </c>
      <c r="R29" s="141">
        <f>$L89</f>
        <v>1.96</v>
      </c>
      <c r="S29" s="141">
        <f>$L95</f>
        <v>2.63</v>
      </c>
      <c r="T29" s="141">
        <f>$L101</f>
        <v>4.01</v>
      </c>
      <c r="U29" s="141">
        <f>$L107</f>
        <v>4.47</v>
      </c>
      <c r="AA29" s="150" t="s">
        <v>446</v>
      </c>
      <c r="AB29" s="150"/>
      <c r="AC29" s="150"/>
      <c r="AD29" s="150" t="s">
        <v>447</v>
      </c>
      <c r="AE29" s="158">
        <f>$I$16</f>
        <v>0</v>
      </c>
      <c r="AF29" s="151" t="s">
        <v>448</v>
      </c>
      <c r="AG29" s="151"/>
      <c r="AH29" s="151" t="s">
        <v>449</v>
      </c>
      <c r="AI29" s="150"/>
      <c r="AJ29" s="152"/>
      <c r="AK29" s="152"/>
      <c r="AL29" s="152"/>
      <c r="AM29" s="147"/>
    </row>
    <row r="30" spans="1:39">
      <c r="A30" s="83">
        <v>28</v>
      </c>
      <c r="B30" s="83" t="s">
        <v>796</v>
      </c>
      <c r="C30" s="124">
        <v>4</v>
      </c>
      <c r="D30" s="87" t="s">
        <v>33</v>
      </c>
      <c r="I30" s="140">
        <f>IF(AND(Rekenblad!$D$7=1,Rekenblad!$E$28&gt;0.1,Rekenblad!$E$28&lt;=15),(Q30),IF(AND(Rekenblad!$D$7=2,Rekenblad!$E$28&gt;0.1,Rekenblad!$E$28&lt;=15),(R30),(IF(AND(Rekenblad!$D$7=3,Rekenblad!$E$28&gt;0.1,Rekenblad!$E$28&lt;=15),(S30),IF(AND(Rekenblad!$D$7=4,Rekenblad!$E$28&gt;0.1,Rekenblad!$E$28&lt;=15),(T30),IF(AND(Rekenblad!$D$7=5,Rekenblad!$E$28&gt;0.1,Rekenblad!$E$28&lt;=15),(U30),0))))))</f>
        <v>0</v>
      </c>
      <c r="K30" s="6">
        <f>IF(AND(Rekenblad!$B$9=3,Rekenblad!$E$28&gt;0,Rekenblad!$E$28&lt;=15),(Rekenblad!$E$28),0)</f>
        <v>0</v>
      </c>
      <c r="O30" s="83" t="s">
        <v>1193</v>
      </c>
      <c r="P30" s="83" t="s">
        <v>1070</v>
      </c>
      <c r="Q30" s="141">
        <f>$N83</f>
        <v>1.1599999999999999</v>
      </c>
      <c r="R30" s="141">
        <f>$N89</f>
        <v>1.33</v>
      </c>
      <c r="S30" s="141">
        <f>$N95</f>
        <v>1.84</v>
      </c>
      <c r="T30" s="141">
        <f>$N101</f>
        <v>3.03</v>
      </c>
      <c r="U30" s="141">
        <f>$N107</f>
        <v>3.43</v>
      </c>
      <c r="AA30" s="150"/>
      <c r="AB30" s="150"/>
      <c r="AC30" s="150"/>
      <c r="AD30" s="150"/>
      <c r="AE30" s="150" t="s">
        <v>450</v>
      </c>
      <c r="AF30" s="151" t="s">
        <v>451</v>
      </c>
      <c r="AG30" s="151" t="s">
        <v>452</v>
      </c>
      <c r="AH30" s="151" t="s">
        <v>453</v>
      </c>
      <c r="AI30" s="167"/>
      <c r="AJ30" s="152"/>
      <c r="AK30" s="152"/>
      <c r="AL30" s="152"/>
      <c r="AM30" s="147"/>
    </row>
    <row r="31" spans="1:39">
      <c r="A31" s="83">
        <v>29</v>
      </c>
      <c r="B31" s="83" t="s">
        <v>970</v>
      </c>
      <c r="C31" s="124">
        <v>1</v>
      </c>
      <c r="D31" s="87" t="s">
        <v>34</v>
      </c>
      <c r="I31" s="140">
        <f>IF(AND(Rekenblad!$D$7=1,Rekenblad!$E$28&gt;15),(Q31),IF(AND(Rekenblad!$D$7=2,Rekenblad!$E$28&gt;15),(R31),(IF(AND(Rekenblad!$D$7=3,Rekenblad!$E$28&gt;15),(S31),IF(AND(Rekenblad!$D$7=4,Rekenblad!$E$28&gt;15),(T31),IF(AND(Rekenblad!$D$7=5,Rekenblad!$E$28&gt;15),(U31),0))))))</f>
        <v>0</v>
      </c>
      <c r="K31" s="6">
        <f>IF(AND(Rekenblad!$B$9=3,Rekenblad!$E$28&gt;15),(Rekenblad!$E$28),0)</f>
        <v>0</v>
      </c>
      <c r="O31" s="83" t="s">
        <v>1193</v>
      </c>
      <c r="P31" s="83" t="s">
        <v>1071</v>
      </c>
      <c r="Q31" s="141">
        <f>$O83</f>
        <v>0.89</v>
      </c>
      <c r="R31" s="141">
        <f>$O89</f>
        <v>1.02</v>
      </c>
      <c r="S31" s="141">
        <f>$O95</f>
        <v>1.42</v>
      </c>
      <c r="T31" s="141">
        <f>$O101</f>
        <v>2.33</v>
      </c>
      <c r="U31" s="141">
        <f>$O107</f>
        <v>2.64</v>
      </c>
      <c r="AA31" s="150"/>
      <c r="AB31" s="150"/>
      <c r="AC31" s="150"/>
      <c r="AD31" s="150"/>
      <c r="AE31" s="150"/>
      <c r="AF31" s="150"/>
      <c r="AG31" s="150"/>
      <c r="AH31" s="150"/>
      <c r="AI31" s="152"/>
      <c r="AJ31" s="152"/>
      <c r="AK31" s="152"/>
      <c r="AL31" s="152"/>
      <c r="AM31" s="147"/>
    </row>
    <row r="32" spans="1:39">
      <c r="A32" s="83">
        <v>30</v>
      </c>
      <c r="B32" s="83" t="s">
        <v>637</v>
      </c>
      <c r="C32" s="124">
        <v>1</v>
      </c>
      <c r="D32" s="87" t="s">
        <v>35</v>
      </c>
      <c r="I32" s="140"/>
      <c r="K32" s="6"/>
      <c r="S32" s="141"/>
      <c r="T32" s="141"/>
      <c r="U32" s="141"/>
      <c r="AA32" s="150" t="s">
        <v>454</v>
      </c>
      <c r="AB32" s="150" t="s">
        <v>455</v>
      </c>
      <c r="AC32" s="150"/>
      <c r="AD32" s="151">
        <v>0.51</v>
      </c>
      <c r="AE32" s="158">
        <f>ROUND(AD32*$AI$16,2)</f>
        <v>21.94</v>
      </c>
      <c r="AF32" s="82">
        <f>ROUND((AE32+AF22+AF24)*(1+AH32),2)</f>
        <v>28.67</v>
      </c>
      <c r="AG32" s="150"/>
      <c r="AH32" s="166">
        <v>0.2</v>
      </c>
      <c r="AI32" s="150" t="s">
        <v>535</v>
      </c>
      <c r="AJ32" s="150"/>
      <c r="AK32" s="150"/>
      <c r="AL32" s="151"/>
      <c r="AM32" s="147"/>
    </row>
    <row r="33" spans="1:39">
      <c r="A33" s="83">
        <v>31</v>
      </c>
      <c r="B33" s="83" t="s">
        <v>1009</v>
      </c>
      <c r="C33" s="124">
        <v>1</v>
      </c>
      <c r="D33" s="87" t="s">
        <v>36</v>
      </c>
      <c r="I33" s="140"/>
      <c r="K33" s="6"/>
      <c r="N33" s="134" t="s">
        <v>1066</v>
      </c>
      <c r="S33" s="141"/>
      <c r="T33" s="141"/>
      <c r="U33" s="141"/>
      <c r="AA33" s="150" t="s">
        <v>454</v>
      </c>
      <c r="AB33" s="150" t="s">
        <v>536</v>
      </c>
      <c r="AC33" s="150"/>
      <c r="AD33" s="151">
        <v>0.41</v>
      </c>
      <c r="AE33" s="158">
        <f t="shared" ref="AE33:AE39" si="0">ROUND(AD33*$AI$16,2)</f>
        <v>17.64</v>
      </c>
      <c r="AF33" s="82">
        <f>ROUND((AE33+AF22+AF24)*(1+AH33),2)</f>
        <v>23.51</v>
      </c>
      <c r="AG33" s="150"/>
      <c r="AH33" s="166">
        <v>0.2</v>
      </c>
      <c r="AI33" s="150" t="s">
        <v>537</v>
      </c>
      <c r="AJ33" s="150"/>
      <c r="AK33" s="150"/>
      <c r="AL33" s="151"/>
      <c r="AM33" s="147"/>
    </row>
    <row r="34" spans="1:39">
      <c r="A34" s="83">
        <v>32</v>
      </c>
      <c r="B34" s="83" t="s">
        <v>1209</v>
      </c>
      <c r="C34" s="124">
        <v>1</v>
      </c>
      <c r="D34" s="87" t="s">
        <v>37</v>
      </c>
      <c r="I34" s="140">
        <f>IF(AND(Rekenblad!$D$7=1,Rekenblad!$H$28&gt;0.1,Rekenblad!$H$28&lt;=15),(Q34),IF(AND(Rekenblad!$D$7=2,Rekenblad!$H$28&gt;0.1,Rekenblad!$H$28&lt;=15),(R34),(IF(AND(Rekenblad!$D$7=3,Rekenblad!$H$28&gt;0.1,Rekenblad!$H$28&lt;=15),(S34),IF(AND(Rekenblad!$D$7=4,Rekenblad!$H$28&gt;0.1,Rekenblad!$H$28&lt;=15),(T34),IF(AND(Rekenblad!$D$7=5,Rekenblad!$H$28&gt;0.1,Rekenblad!$H$28&lt;=15),(U34),0))))))</f>
        <v>0</v>
      </c>
      <c r="K34" s="6">
        <f>IF(AND(Rekenblad!$B$9=4,Rekenblad!$H$28&gt;0,Rekenblad!$H$28&lt;=15),(Rekenblad!$H$28),0)</f>
        <v>0</v>
      </c>
      <c r="O34" s="83" t="s">
        <v>1068</v>
      </c>
      <c r="P34" s="83" t="s">
        <v>1070</v>
      </c>
      <c r="Q34" s="141">
        <f>$L176</f>
        <v>15.785833333333334</v>
      </c>
      <c r="R34" s="141">
        <f>$L182</f>
        <v>16.055833333333336</v>
      </c>
      <c r="S34" s="141">
        <f>$L188</f>
        <v>16.875833333333333</v>
      </c>
      <c r="T34" s="141">
        <f>$L194</f>
        <v>18.555833333333332</v>
      </c>
      <c r="U34" s="141">
        <f>$L200</f>
        <v>19.115833333333335</v>
      </c>
      <c r="AA34" s="150" t="s">
        <v>454</v>
      </c>
      <c r="AB34" s="150" t="s">
        <v>538</v>
      </c>
      <c r="AC34" s="150"/>
      <c r="AD34" s="151">
        <v>0.36</v>
      </c>
      <c r="AE34" s="158">
        <f t="shared" si="0"/>
        <v>15.49</v>
      </c>
      <c r="AF34" s="82">
        <f>ROUND((AE34+AF22+AF24)*(1+AH34),2)</f>
        <v>20.93</v>
      </c>
      <c r="AG34" s="150"/>
      <c r="AH34" s="166">
        <v>0.2</v>
      </c>
      <c r="AI34" s="150" t="s">
        <v>539</v>
      </c>
      <c r="AJ34" s="150"/>
      <c r="AK34" s="150"/>
      <c r="AL34" s="151"/>
      <c r="AM34" s="147"/>
    </row>
    <row r="35" spans="1:39">
      <c r="A35" s="83">
        <v>33</v>
      </c>
      <c r="B35" s="83" t="s">
        <v>1210</v>
      </c>
      <c r="C35" s="124">
        <v>1</v>
      </c>
      <c r="D35" s="87" t="s">
        <v>38</v>
      </c>
      <c r="I35" s="140">
        <f>IF(AND(Rekenblad!$D$7=1,Rekenblad!$H$28&gt;15),(Q35),IF(AND(Rekenblad!$D$7=2,Rekenblad!$H$28&gt;15),(R35),(IF(AND(Rekenblad!$D$7=3,Rekenblad!$H$28&gt;15),(S35),IF(AND(Rekenblad!$D$7=4,Rekenblad!$H$28&gt;15),(T35),IF(AND(Rekenblad!$D$7=5,Rekenblad!$H$28&gt;15),(U35),0))))))</f>
        <v>0</v>
      </c>
      <c r="K35" s="6">
        <f>IF(AND(Rekenblad!$B$9=4,Rekenblad!$H$28&gt;15),(Rekenblad!$H$28),0)</f>
        <v>0</v>
      </c>
      <c r="O35" s="83" t="s">
        <v>1068</v>
      </c>
      <c r="P35" s="83" t="s">
        <v>1071</v>
      </c>
      <c r="Q35" s="141">
        <f>$L178</f>
        <v>12.945833333333335</v>
      </c>
      <c r="R35" s="141">
        <f>$L184</f>
        <v>13.165833333333335</v>
      </c>
      <c r="S35" s="141">
        <f>$L190</f>
        <v>13.835833333333333</v>
      </c>
      <c r="T35" s="141">
        <f>$L196</f>
        <v>15.215833333333334</v>
      </c>
      <c r="U35" s="141">
        <f>$L202</f>
        <v>15.675833333333333</v>
      </c>
      <c r="AA35" s="150" t="s">
        <v>415</v>
      </c>
      <c r="AB35" s="150" t="s">
        <v>455</v>
      </c>
      <c r="AC35" s="150"/>
      <c r="AD35" s="151">
        <v>0.41</v>
      </c>
      <c r="AE35" s="158">
        <f t="shared" si="0"/>
        <v>17.64</v>
      </c>
      <c r="AF35" s="82">
        <f>ROUND((AE35+AF23+AF24)*(1+AH35),2)</f>
        <v>22.46</v>
      </c>
      <c r="AG35" s="150"/>
      <c r="AH35" s="166">
        <v>0.2</v>
      </c>
      <c r="AI35" s="150"/>
      <c r="AJ35" s="150"/>
      <c r="AK35" s="150"/>
      <c r="AL35" s="151"/>
      <c r="AM35" s="147"/>
    </row>
    <row r="36" spans="1:39">
      <c r="A36" s="83">
        <v>34</v>
      </c>
      <c r="B36" s="83" t="s">
        <v>915</v>
      </c>
      <c r="C36" s="124">
        <v>1</v>
      </c>
      <c r="D36" s="87" t="s">
        <v>39</v>
      </c>
      <c r="I36" s="140">
        <f>IF(AND(Rekenblad!$D$7=1,Rekenblad!$E$28&gt;0.1,Rekenblad!$E$28&lt;=15),(Q36),IF(AND(Rekenblad!$D$7=2,Rekenblad!$E$28&gt;0.1,Rekenblad!$E$28&lt;=15),(R36),(IF(AND(Rekenblad!$D$7=3,Rekenblad!$E$28&gt;0.1,Rekenblad!$E$28&lt;=15),(S36),IF(AND(Rekenblad!$D$7=4,Rekenblad!$E$28&gt;0.1,Rekenblad!$E$28&lt;=15),(T36),IF(AND(Rekenblad!$D$7=5,Rekenblad!$E$28&gt;0.1,Rekenblad!$E$28&lt;=15),(U36),0))))))</f>
        <v>0</v>
      </c>
      <c r="K36" s="6">
        <f>IF(AND(Rekenblad!$B$9=4,Rekenblad!$E$28&gt;0,Rekenblad!$E$28&lt;=15),(Rekenblad!$E$28),0)</f>
        <v>0</v>
      </c>
      <c r="O36" s="83" t="s">
        <v>1069</v>
      </c>
      <c r="P36" s="83" t="s">
        <v>1070</v>
      </c>
      <c r="Q36" s="141">
        <f>$L177</f>
        <v>11.868333333333334</v>
      </c>
      <c r="R36" s="141">
        <f>$L183</f>
        <v>12.038333333333334</v>
      </c>
      <c r="S36" s="141">
        <f>$L189</f>
        <v>12.548333333333334</v>
      </c>
      <c r="T36" s="141">
        <f>$L195</f>
        <v>13.738333333333333</v>
      </c>
      <c r="U36" s="141">
        <f>$L201</f>
        <v>14.138333333333334</v>
      </c>
      <c r="AA36" s="150" t="s">
        <v>540</v>
      </c>
      <c r="AB36" s="150" t="s">
        <v>536</v>
      </c>
      <c r="AC36" s="150"/>
      <c r="AD36" s="151">
        <v>0.31</v>
      </c>
      <c r="AE36" s="158">
        <f t="shared" si="0"/>
        <v>13.34</v>
      </c>
      <c r="AF36" s="82">
        <f>ROUND((AE36+AF23+AF24)*(1+AH36),2)</f>
        <v>17.3</v>
      </c>
      <c r="AG36" s="150"/>
      <c r="AH36" s="166">
        <v>0.2</v>
      </c>
      <c r="AI36" s="150"/>
      <c r="AJ36" s="150"/>
      <c r="AK36" s="150"/>
      <c r="AL36" s="151"/>
      <c r="AM36" s="147"/>
    </row>
    <row r="37" spans="1:39">
      <c r="A37" s="83">
        <v>35</v>
      </c>
      <c r="B37" s="83" t="s">
        <v>487</v>
      </c>
      <c r="C37" s="124">
        <v>1</v>
      </c>
      <c r="D37" s="87" t="s">
        <v>488</v>
      </c>
      <c r="I37" s="140">
        <f>IF(AND(Rekenblad!$D$7=1,Rekenblad!$E$28&gt;15),(Q37),IF(AND(Rekenblad!$D$7=2,Rekenblad!$E$28&gt;15),(R37),(IF(AND(Rekenblad!$D$7=3,Rekenblad!$E$28&gt;15),(S37),IF(AND(Rekenblad!$D$7=4,Rekenblad!$E$28&gt;15),(T37),IF(AND(Rekenblad!$D$7=5,Rekenblad!$E$28&gt;15),(U37),0))))))</f>
        <v>0</v>
      </c>
      <c r="K37" s="6">
        <f>IF(AND(Rekenblad!$B$9=4,Rekenblad!$E$28&gt;15),(Rekenblad!$E$28),0)</f>
        <v>0</v>
      </c>
      <c r="O37" s="83" t="s">
        <v>1069</v>
      </c>
      <c r="P37" s="83" t="s">
        <v>1071</v>
      </c>
      <c r="Q37" s="141">
        <f>$L179</f>
        <v>9.1383333333333354</v>
      </c>
      <c r="R37" s="141">
        <f>$L185</f>
        <v>9.2683333333333344</v>
      </c>
      <c r="S37" s="141">
        <f>$L191</f>
        <v>9.668333333333333</v>
      </c>
      <c r="T37" s="141">
        <f>$L197</f>
        <v>10.578333333333333</v>
      </c>
      <c r="U37" s="141">
        <f>$L202</f>
        <v>15.675833333333333</v>
      </c>
      <c r="AA37" s="150" t="s">
        <v>540</v>
      </c>
      <c r="AB37" s="150" t="s">
        <v>538</v>
      </c>
      <c r="AC37" s="150"/>
      <c r="AD37" s="151">
        <v>0.28999999999999998</v>
      </c>
      <c r="AE37" s="158">
        <f t="shared" si="0"/>
        <v>12.48</v>
      </c>
      <c r="AF37" s="82">
        <f>ROUND((AE37+AF23+AF24)*(1+AH37),2)</f>
        <v>16.27</v>
      </c>
      <c r="AG37" s="150"/>
      <c r="AH37" s="166">
        <v>0.2</v>
      </c>
      <c r="AI37" s="150"/>
      <c r="AJ37" s="150"/>
      <c r="AK37" s="150"/>
      <c r="AL37" s="151"/>
      <c r="AM37" s="147"/>
    </row>
    <row r="38" spans="1:39">
      <c r="A38" s="83">
        <v>36</v>
      </c>
      <c r="B38" s="83" t="s">
        <v>916</v>
      </c>
      <c r="C38" s="124">
        <v>1</v>
      </c>
      <c r="D38" s="87" t="s">
        <v>40</v>
      </c>
      <c r="I38" s="140"/>
      <c r="K38" s="175"/>
      <c r="AA38" s="150" t="s">
        <v>541</v>
      </c>
      <c r="AB38" s="150" t="s">
        <v>542</v>
      </c>
      <c r="AC38" s="150"/>
      <c r="AD38" s="151">
        <v>0.22</v>
      </c>
      <c r="AE38" s="158">
        <f t="shared" si="0"/>
        <v>9.4600000000000009</v>
      </c>
      <c r="AF38" s="82">
        <f>(AE38+AF23+AF24)</f>
        <v>10.540000000000001</v>
      </c>
      <c r="AG38" s="151"/>
      <c r="AH38" s="166"/>
      <c r="AI38" s="151"/>
      <c r="AJ38" s="150"/>
      <c r="AK38" s="150"/>
      <c r="AL38" s="151"/>
      <c r="AM38" s="147"/>
    </row>
    <row r="39" spans="1:39">
      <c r="A39" s="83">
        <v>37</v>
      </c>
      <c r="B39" s="83" t="s">
        <v>917</v>
      </c>
      <c r="C39" s="124">
        <v>1</v>
      </c>
      <c r="D39" s="87" t="s">
        <v>41</v>
      </c>
      <c r="AA39" s="150" t="s">
        <v>543</v>
      </c>
      <c r="AB39" s="150" t="s">
        <v>542</v>
      </c>
      <c r="AC39" s="150"/>
      <c r="AD39" s="151">
        <v>0.17</v>
      </c>
      <c r="AE39" s="158">
        <f t="shared" si="0"/>
        <v>7.31</v>
      </c>
      <c r="AF39" s="82">
        <f>AE39+AF23+AF24</f>
        <v>8.3899999999999988</v>
      </c>
      <c r="AG39" s="151"/>
      <c r="AH39" s="166"/>
      <c r="AI39" s="151"/>
      <c r="AJ39" s="150"/>
      <c r="AK39" s="150"/>
      <c r="AL39" s="151"/>
      <c r="AM39" s="147"/>
    </row>
    <row r="40" spans="1:39">
      <c r="A40" s="83">
        <v>38</v>
      </c>
      <c r="B40" s="83" t="s">
        <v>723</v>
      </c>
      <c r="C40" s="124">
        <v>1</v>
      </c>
      <c r="D40" s="87" t="s">
        <v>42</v>
      </c>
      <c r="I40" s="140">
        <f>IF(OR(Rekenblad!$D$7=1),(Q40),IF(OR(Rekenblad!$D$7=2),(R40),(IF(OR(Rekenblad!$D$7=3),(S40),IF(OR(Rekenblad!$D$7=4),(T40),IF(OR(Rekenblad!$D$7=5),(U40),""))))))</f>
        <v>11.172400000000001</v>
      </c>
      <c r="K40" s="176">
        <f>Rekenblad!I28</f>
        <v>0</v>
      </c>
      <c r="N40" s="134" t="s">
        <v>1067</v>
      </c>
      <c r="O40" s="83" t="s">
        <v>1074</v>
      </c>
      <c r="P40" s="83" t="s">
        <v>1042</v>
      </c>
      <c r="Q40" s="141">
        <f t="shared" ref="Q40:U43" si="1">$L206</f>
        <v>11.172400000000001</v>
      </c>
      <c r="R40" s="141">
        <f t="shared" si="1"/>
        <v>11.172400000000001</v>
      </c>
      <c r="S40" s="141">
        <f t="shared" si="1"/>
        <v>11.172400000000001</v>
      </c>
      <c r="T40" s="141">
        <f t="shared" si="1"/>
        <v>11.172400000000001</v>
      </c>
      <c r="U40" s="141">
        <f t="shared" si="1"/>
        <v>11.172400000000001</v>
      </c>
      <c r="AA40" s="150" t="s">
        <v>544</v>
      </c>
      <c r="AB40" s="150" t="s">
        <v>545</v>
      </c>
      <c r="AC40" s="150"/>
      <c r="AD40" s="177">
        <f>1.59</f>
        <v>1.59</v>
      </c>
      <c r="AE40" s="158">
        <f>ROUND(AD40/100*$AF$51,2)</f>
        <v>0.69</v>
      </c>
      <c r="AF40" s="82">
        <f>((AH55+AH56)/2+AE40)*1.5</f>
        <v>1.1536875</v>
      </c>
      <c r="AG40" s="151"/>
      <c r="AH40" s="166">
        <v>0.5</v>
      </c>
      <c r="AI40" s="151"/>
      <c r="AJ40" s="150"/>
      <c r="AK40" s="150"/>
      <c r="AL40" s="151"/>
      <c r="AM40" s="147"/>
    </row>
    <row r="41" spans="1:39">
      <c r="A41" s="83">
        <v>39</v>
      </c>
      <c r="B41" s="83" t="s">
        <v>797</v>
      </c>
      <c r="C41" s="124">
        <v>1</v>
      </c>
      <c r="D41" s="87" t="s">
        <v>43</v>
      </c>
      <c r="I41" s="140">
        <f>IF(OR(Rekenblad!$D$7=1),(Q41),IF(OR(Rekenblad!$D$7=2),(R41),(IF(OR(Rekenblad!$D$7=3),(S41),IF(OR(Rekenblad!$D$7=4),(T41),IF(OR(Rekenblad!$D$7=5),(U41),""))))))</f>
        <v>8.893399999999998</v>
      </c>
      <c r="K41" s="176">
        <f>Rekenblad!K28</f>
        <v>0</v>
      </c>
      <c r="O41" s="83" t="s">
        <v>1075</v>
      </c>
      <c r="P41" s="83" t="s">
        <v>1042</v>
      </c>
      <c r="Q41" s="141">
        <f t="shared" si="1"/>
        <v>8.893399999999998</v>
      </c>
      <c r="R41" s="141">
        <f t="shared" si="1"/>
        <v>8.893399999999998</v>
      </c>
      <c r="S41" s="141">
        <f t="shared" si="1"/>
        <v>8.893399999999998</v>
      </c>
      <c r="T41" s="141">
        <f t="shared" si="1"/>
        <v>8.893399999999998</v>
      </c>
      <c r="U41" s="141">
        <f t="shared" si="1"/>
        <v>8.893399999999998</v>
      </c>
      <c r="AA41" s="150" t="s">
        <v>546</v>
      </c>
      <c r="AB41" s="150" t="s">
        <v>545</v>
      </c>
      <c r="AC41" s="150"/>
      <c r="AD41" s="178">
        <f>0.945</f>
        <v>0.94499999999999995</v>
      </c>
      <c r="AE41" s="158">
        <f>ROUND(AD41/100*$AF$51,2)</f>
        <v>0.41</v>
      </c>
      <c r="AF41" s="82">
        <f>((AH55+AH56)/2+AE41)*1.5</f>
        <v>0.73368749999999994</v>
      </c>
      <c r="AG41" s="151"/>
      <c r="AH41" s="166">
        <v>0.5</v>
      </c>
      <c r="AI41" s="151"/>
      <c r="AJ41" s="150"/>
      <c r="AK41" s="150"/>
      <c r="AL41" s="151"/>
      <c r="AM41" s="147"/>
    </row>
    <row r="42" spans="1:39">
      <c r="A42" s="83">
        <v>40</v>
      </c>
      <c r="B42" s="83" t="s">
        <v>844</v>
      </c>
      <c r="C42" s="124">
        <v>4</v>
      </c>
      <c r="D42" s="87" t="s">
        <v>44</v>
      </c>
      <c r="I42" s="140">
        <f>IF(OR(Rekenblad!$D$7=1),(Q42),IF(OR(Rekenblad!$D$7=2),(R42),(IF(OR(Rekenblad!$D$7=3),(S42),IF(OR(Rekenblad!$D$7=4),(T42),IF(OR(Rekenblad!$D$7=5),(U42),""))))))</f>
        <v>100.03087500000001</v>
      </c>
      <c r="K42" s="6">
        <f>IF(AND(Rekenblad!$E$33&gt;0,Rekenblad!$E$33&lt;=50),(1),0)</f>
        <v>0</v>
      </c>
      <c r="O42" s="83" t="s">
        <v>1078</v>
      </c>
      <c r="P42" s="83" t="s">
        <v>1073</v>
      </c>
      <c r="Q42" s="141">
        <f t="shared" si="1"/>
        <v>100.03087500000001</v>
      </c>
      <c r="R42" s="141">
        <f t="shared" si="1"/>
        <v>100.03087500000001</v>
      </c>
      <c r="S42" s="141">
        <f t="shared" si="1"/>
        <v>100.03087500000001</v>
      </c>
      <c r="T42" s="141">
        <f t="shared" si="1"/>
        <v>100.03087500000001</v>
      </c>
      <c r="U42" s="141">
        <f t="shared" si="1"/>
        <v>100.03087500000001</v>
      </c>
      <c r="AA42" s="179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</row>
    <row r="43" spans="1:39">
      <c r="A43" s="83">
        <v>41</v>
      </c>
      <c r="B43" s="83" t="s">
        <v>918</v>
      </c>
      <c r="C43" s="124">
        <v>1</v>
      </c>
      <c r="D43" s="87" t="s">
        <v>45</v>
      </c>
      <c r="I43" s="140">
        <f>IF(OR(Rekenblad!$D$7=1),(Q43),IF(OR(Rekenblad!$D$7=2),(R43),(IF(OR(Rekenblad!$D$7=3),(S43),IF(OR(Rekenblad!$D$7=4),(T43),IF(OR(Rekenblad!$D$7=5),(U43),""))))))</f>
        <v>2.0006175000000002</v>
      </c>
      <c r="K43" s="6">
        <f>IF(AND(Rekenblad!$E$33&gt;50),(Rekenblad!$E$33),0)</f>
        <v>0</v>
      </c>
      <c r="O43" s="83" t="s">
        <v>1121</v>
      </c>
      <c r="P43" s="83" t="s">
        <v>1077</v>
      </c>
      <c r="Q43" s="141">
        <f t="shared" si="1"/>
        <v>2.0006175000000002</v>
      </c>
      <c r="R43" s="141">
        <f t="shared" si="1"/>
        <v>2.0006175000000002</v>
      </c>
      <c r="S43" s="141">
        <f t="shared" si="1"/>
        <v>2.0006175000000002</v>
      </c>
      <c r="T43" s="141">
        <f t="shared" si="1"/>
        <v>2.0006175000000002</v>
      </c>
      <c r="U43" s="141">
        <f t="shared" si="1"/>
        <v>2.0006175000000002</v>
      </c>
      <c r="AA43" s="155" t="s">
        <v>547</v>
      </c>
      <c r="AB43" s="150"/>
      <c r="AC43" s="150"/>
      <c r="AD43" s="150"/>
      <c r="AE43" s="150"/>
      <c r="AF43" s="150" t="s">
        <v>393</v>
      </c>
      <c r="AG43" s="150" t="s">
        <v>1023</v>
      </c>
      <c r="AH43" s="152"/>
      <c r="AI43" s="152"/>
      <c r="AJ43" s="180"/>
      <c r="AK43" s="180"/>
      <c r="AL43" s="180"/>
      <c r="AM43" s="174"/>
    </row>
    <row r="44" spans="1:39">
      <c r="A44" s="83">
        <v>42</v>
      </c>
      <c r="B44" s="83" t="s">
        <v>798</v>
      </c>
      <c r="C44" s="124">
        <v>1</v>
      </c>
      <c r="D44" s="87" t="s">
        <v>46</v>
      </c>
      <c r="I44" s="140">
        <f>Rekenblad!H31</f>
        <v>0</v>
      </c>
      <c r="K44" s="175"/>
      <c r="O44" s="83" t="s">
        <v>1076</v>
      </c>
      <c r="P44" s="83" t="s">
        <v>1043</v>
      </c>
      <c r="Q44" s="181"/>
      <c r="R44" s="181"/>
      <c r="S44" s="181"/>
      <c r="T44" s="181"/>
      <c r="U44" s="181"/>
      <c r="AA44" s="150"/>
      <c r="AB44" s="150"/>
      <c r="AC44" s="150"/>
      <c r="AD44" s="150"/>
      <c r="AE44" s="150"/>
      <c r="AF44" s="156"/>
      <c r="AG44" s="152"/>
      <c r="AH44" s="152"/>
      <c r="AI44" s="152"/>
      <c r="AJ44" s="180"/>
      <c r="AK44" s="180"/>
      <c r="AL44" s="180"/>
      <c r="AM44" s="174"/>
    </row>
    <row r="45" spans="1:39">
      <c r="A45" s="83">
        <v>43</v>
      </c>
      <c r="B45" s="83" t="s">
        <v>799</v>
      </c>
      <c r="C45" s="124">
        <v>1</v>
      </c>
      <c r="D45" s="87" t="s">
        <v>47</v>
      </c>
      <c r="I45" s="140">
        <f>Rekenblad!H32</f>
        <v>0</v>
      </c>
      <c r="O45" s="83" t="s">
        <v>1076</v>
      </c>
      <c r="P45" s="83" t="s">
        <v>1043</v>
      </c>
      <c r="Q45" s="181"/>
      <c r="R45" s="181"/>
      <c r="S45" s="181"/>
      <c r="T45" s="181"/>
      <c r="U45" s="181"/>
      <c r="AA45" s="150" t="s">
        <v>548</v>
      </c>
      <c r="AB45" s="150"/>
      <c r="AC45" s="150" t="s">
        <v>549</v>
      </c>
      <c r="AD45" s="150"/>
      <c r="AE45" s="150"/>
      <c r="AF45" s="158">
        <f>Invoerscherm!E28</f>
        <v>29.59</v>
      </c>
      <c r="AG45" s="150" t="s">
        <v>396</v>
      </c>
      <c r="AH45" s="151"/>
      <c r="AI45" s="153"/>
      <c r="AJ45" s="180"/>
      <c r="AK45" s="180"/>
      <c r="AL45" s="180"/>
      <c r="AM45" s="174"/>
    </row>
    <row r="46" spans="1:39" ht="15">
      <c r="A46" s="83">
        <v>44</v>
      </c>
      <c r="B46" s="83" t="s">
        <v>658</v>
      </c>
      <c r="C46" s="124">
        <v>5</v>
      </c>
      <c r="D46" s="87" t="s">
        <v>48</v>
      </c>
      <c r="I46" s="140">
        <f>Rekenblad!N31</f>
        <v>0</v>
      </c>
      <c r="K46" s="176">
        <f>+IF(AND(Rekenblad!$K$31&gt;0.1,Rekenblad!$L$31&gt;0.1,Rekenblad!$M$31&gt;1),(Rekenblad!$K$31*Rekenblad!$L$31*Rekenblad!$M$31),0)</f>
        <v>0</v>
      </c>
      <c r="O46" s="83" t="s">
        <v>1059</v>
      </c>
      <c r="P46" s="83" t="s">
        <v>1041</v>
      </c>
      <c r="Q46" s="181"/>
      <c r="R46" s="181"/>
      <c r="S46" s="181"/>
      <c r="T46" s="181"/>
      <c r="U46" s="181"/>
      <c r="AA46" s="150" t="s">
        <v>399</v>
      </c>
      <c r="AB46" s="150"/>
      <c r="AC46" s="150" t="s">
        <v>550</v>
      </c>
      <c r="AD46" s="150"/>
      <c r="AE46" s="150"/>
      <c r="AF46" s="182">
        <f>Invoerscherm!E29</f>
        <v>9.14</v>
      </c>
      <c r="AG46" s="150"/>
      <c r="AH46" s="183" t="s">
        <v>551</v>
      </c>
      <c r="AI46" s="159"/>
      <c r="AJ46" s="180"/>
      <c r="AK46" s="180"/>
      <c r="AL46" s="180"/>
      <c r="AM46" s="174"/>
    </row>
    <row r="47" spans="1:39">
      <c r="A47" s="83">
        <v>45</v>
      </c>
      <c r="B47" s="83" t="s">
        <v>919</v>
      </c>
      <c r="C47" s="124">
        <v>1</v>
      </c>
      <c r="D47" s="87" t="s">
        <v>49</v>
      </c>
      <c r="I47" s="140">
        <f>Rekenblad!N32</f>
        <v>0</v>
      </c>
      <c r="K47" s="176">
        <f>+IF(AND(Rekenblad!$K$32&gt;0.1,Rekenblad!$L$32&gt;0.1,Rekenblad!$M$32&gt;1),(Rekenblad!$K$32*Rekenblad!$L$32*Rekenblad!$M$32),0)</f>
        <v>0</v>
      </c>
      <c r="O47" s="83" t="s">
        <v>1059</v>
      </c>
      <c r="P47" s="83" t="s">
        <v>1041</v>
      </c>
      <c r="Q47" s="181"/>
      <c r="R47" s="181"/>
      <c r="S47" s="181"/>
      <c r="T47" s="181"/>
      <c r="U47" s="181"/>
      <c r="AA47" s="150"/>
      <c r="AB47" s="150"/>
      <c r="AC47" s="150"/>
      <c r="AD47" s="150"/>
      <c r="AE47" s="150"/>
      <c r="AF47" s="162">
        <f>SUM(AF45:AF46)</f>
        <v>38.730000000000004</v>
      </c>
      <c r="AG47" s="150"/>
      <c r="AH47" s="151"/>
      <c r="AI47" s="152"/>
      <c r="AJ47" s="180"/>
      <c r="AK47" s="180"/>
      <c r="AL47" s="180"/>
      <c r="AM47" s="174"/>
    </row>
    <row r="48" spans="1:39">
      <c r="A48" s="83">
        <v>46</v>
      </c>
      <c r="B48" s="83" t="s">
        <v>681</v>
      </c>
      <c r="C48" s="124">
        <v>1</v>
      </c>
      <c r="D48" s="87" t="s">
        <v>1087</v>
      </c>
      <c r="AA48" s="150"/>
      <c r="AB48" s="150"/>
      <c r="AC48" s="150"/>
      <c r="AD48" s="150"/>
      <c r="AE48" s="150"/>
      <c r="AF48" s="158"/>
      <c r="AG48" s="150"/>
      <c r="AH48" s="151"/>
      <c r="AI48" s="152"/>
      <c r="AJ48" s="180"/>
      <c r="AK48" s="180"/>
      <c r="AL48" s="180"/>
      <c r="AM48" s="174"/>
    </row>
    <row r="49" spans="1:39">
      <c r="A49" s="83">
        <v>47</v>
      </c>
      <c r="B49" s="83" t="s">
        <v>696</v>
      </c>
      <c r="C49" s="124">
        <v>1</v>
      </c>
      <c r="D49" s="87" t="s">
        <v>1167</v>
      </c>
      <c r="AA49" s="150" t="s">
        <v>406</v>
      </c>
      <c r="AB49" s="150"/>
      <c r="AC49" s="150"/>
      <c r="AD49" s="150"/>
      <c r="AE49" s="163">
        <f>12/100</f>
        <v>0.12</v>
      </c>
      <c r="AF49" s="184">
        <f>ROUND(AE49*AF47,2)</f>
        <v>4.6500000000000004</v>
      </c>
      <c r="AG49" s="150"/>
      <c r="AH49" s="151"/>
      <c r="AI49" s="151"/>
      <c r="AJ49" s="150"/>
      <c r="AK49" s="180"/>
      <c r="AL49" s="180"/>
      <c r="AM49" s="174"/>
    </row>
    <row r="50" spans="1:39">
      <c r="A50" s="83">
        <v>48</v>
      </c>
      <c r="B50" s="83" t="s">
        <v>900</v>
      </c>
      <c r="C50" s="124">
        <v>1</v>
      </c>
      <c r="D50" s="87" t="s">
        <v>50</v>
      </c>
      <c r="AA50" s="150"/>
      <c r="AB50" s="150"/>
      <c r="AC50" s="150"/>
      <c r="AD50" s="150"/>
      <c r="AE50" s="150"/>
      <c r="AF50" s="162"/>
      <c r="AG50" s="150"/>
      <c r="AH50" s="151"/>
      <c r="AI50" s="148"/>
      <c r="AJ50" s="148"/>
      <c r="AK50" s="180"/>
      <c r="AL50" s="180"/>
      <c r="AM50" s="174"/>
    </row>
    <row r="51" spans="1:39" ht="15">
      <c r="A51" s="83">
        <v>49</v>
      </c>
      <c r="B51" s="83" t="s">
        <v>920</v>
      </c>
      <c r="C51" s="124">
        <v>1</v>
      </c>
      <c r="D51" s="87" t="s">
        <v>51</v>
      </c>
      <c r="AA51" s="150"/>
      <c r="AB51" s="150"/>
      <c r="AC51" s="147"/>
      <c r="AD51" s="150" t="s">
        <v>552</v>
      </c>
      <c r="AE51" s="150"/>
      <c r="AF51" s="185">
        <f>SUM(AF47:AF49)</f>
        <v>43.38</v>
      </c>
      <c r="AG51" s="150"/>
      <c r="AH51" s="151"/>
      <c r="AI51" s="152"/>
      <c r="AJ51" s="180"/>
      <c r="AK51" s="180"/>
      <c r="AL51" s="180"/>
      <c r="AM51" s="174"/>
    </row>
    <row r="52" spans="1:39">
      <c r="A52" s="83">
        <v>50</v>
      </c>
      <c r="B52" s="83" t="s">
        <v>714</v>
      </c>
      <c r="C52" s="124">
        <v>1</v>
      </c>
      <c r="D52" s="87" t="s">
        <v>715</v>
      </c>
      <c r="AA52" s="186"/>
      <c r="AB52" s="186"/>
      <c r="AC52" s="186"/>
      <c r="AD52" s="186"/>
      <c r="AE52" s="186"/>
      <c r="AF52" s="173"/>
      <c r="AG52" s="186"/>
      <c r="AH52" s="173"/>
      <c r="AI52" s="152"/>
      <c r="AJ52" s="180"/>
      <c r="AK52" s="180"/>
      <c r="AL52" s="180"/>
      <c r="AM52" s="174"/>
    </row>
    <row r="53" spans="1:39">
      <c r="A53" s="83">
        <v>51</v>
      </c>
      <c r="B53" s="83" t="s">
        <v>921</v>
      </c>
      <c r="C53" s="124">
        <v>1</v>
      </c>
      <c r="D53" s="87" t="s">
        <v>52</v>
      </c>
      <c r="AA53" s="155" t="s">
        <v>553</v>
      </c>
      <c r="AB53" s="167"/>
      <c r="AC53" s="147"/>
      <c r="AD53" s="180" t="s">
        <v>554</v>
      </c>
      <c r="AE53" s="180"/>
      <c r="AF53" s="147" t="s">
        <v>555</v>
      </c>
      <c r="AG53" s="180" t="s">
        <v>556</v>
      </c>
      <c r="AH53" s="153" t="s">
        <v>557</v>
      </c>
      <c r="AI53" s="180" t="s">
        <v>558</v>
      </c>
      <c r="AJ53" s="180"/>
      <c r="AK53" s="147"/>
      <c r="AL53" s="180"/>
      <c r="AM53" s="174"/>
    </row>
    <row r="54" spans="1:39">
      <c r="A54" s="83">
        <v>52</v>
      </c>
      <c r="B54" s="83" t="s">
        <v>853</v>
      </c>
      <c r="C54" s="124">
        <v>1</v>
      </c>
      <c r="D54" s="87" t="s">
        <v>53</v>
      </c>
      <c r="AA54" s="155"/>
      <c r="AB54" s="167"/>
      <c r="AC54" s="147"/>
      <c r="AD54" s="180" t="s">
        <v>559</v>
      </c>
      <c r="AE54" s="180"/>
      <c r="AF54" s="147" t="s">
        <v>560</v>
      </c>
      <c r="AG54" s="180" t="s">
        <v>561</v>
      </c>
      <c r="AH54" s="187" t="s">
        <v>1041</v>
      </c>
      <c r="AI54" s="180" t="s">
        <v>562</v>
      </c>
      <c r="AJ54" s="180"/>
      <c r="AK54" s="147"/>
      <c r="AL54" s="180"/>
      <c r="AM54" s="174"/>
    </row>
    <row r="55" spans="1:39">
      <c r="A55" s="83">
        <v>53</v>
      </c>
      <c r="B55" s="83" t="s">
        <v>489</v>
      </c>
      <c r="C55" s="124">
        <v>1</v>
      </c>
      <c r="D55" s="87" t="s">
        <v>490</v>
      </c>
      <c r="AA55" s="150" t="s">
        <v>563</v>
      </c>
      <c r="AB55" s="167" t="s">
        <v>564</v>
      </c>
      <c r="AC55" s="147"/>
      <c r="AD55" s="187">
        <f>Invoerscherm!E31</f>
        <v>7.1</v>
      </c>
      <c r="AE55" s="150"/>
      <c r="AF55" s="152">
        <v>0.75</v>
      </c>
      <c r="AG55" s="153">
        <f>AD55*AF55</f>
        <v>5.3249999999999993</v>
      </c>
      <c r="AH55" s="153">
        <f>AG55/100</f>
        <v>5.3249999999999992E-2</v>
      </c>
      <c r="AI55" s="188">
        <v>37377</v>
      </c>
      <c r="AJ55" s="150"/>
      <c r="AK55" s="152"/>
      <c r="AL55" s="180"/>
      <c r="AM55" s="174"/>
    </row>
    <row r="56" spans="1:39">
      <c r="A56" s="83">
        <v>54</v>
      </c>
      <c r="B56" s="83" t="s">
        <v>724</v>
      </c>
      <c r="C56" s="124">
        <v>1</v>
      </c>
      <c r="D56" s="87" t="s">
        <v>54</v>
      </c>
      <c r="AA56" s="150" t="s">
        <v>563</v>
      </c>
      <c r="AB56" s="167" t="s">
        <v>565</v>
      </c>
      <c r="AC56" s="147"/>
      <c r="AD56" s="187">
        <f>Invoerscherm!E32</f>
        <v>7</v>
      </c>
      <c r="AE56" s="148"/>
      <c r="AF56" s="152">
        <v>1.5</v>
      </c>
      <c r="AG56" s="153">
        <f>AD56*AF56</f>
        <v>10.5</v>
      </c>
      <c r="AH56" s="153">
        <f>AG56/100</f>
        <v>0.105</v>
      </c>
      <c r="AI56" s="148"/>
      <c r="AJ56" s="148"/>
      <c r="AK56" s="152"/>
      <c r="AL56" s="180"/>
      <c r="AM56" s="174"/>
    </row>
    <row r="57" spans="1:39">
      <c r="A57" s="83">
        <v>55</v>
      </c>
      <c r="B57" s="83" t="s">
        <v>971</v>
      </c>
      <c r="C57" s="124">
        <v>1</v>
      </c>
      <c r="D57" s="87" t="s">
        <v>55</v>
      </c>
      <c r="AA57" s="186"/>
      <c r="AB57" s="186"/>
      <c r="AC57" s="186"/>
      <c r="AD57" s="186"/>
      <c r="AE57" s="186"/>
      <c r="AF57" s="173"/>
      <c r="AG57" s="186"/>
      <c r="AH57" s="173"/>
      <c r="AI57" s="152"/>
      <c r="AJ57" s="180"/>
      <c r="AK57" s="180"/>
      <c r="AL57" s="180"/>
      <c r="AM57" s="174"/>
    </row>
    <row r="58" spans="1:39">
      <c r="A58" s="83">
        <v>56</v>
      </c>
      <c r="B58" s="83" t="s">
        <v>761</v>
      </c>
      <c r="C58" s="124">
        <v>1</v>
      </c>
      <c r="D58" s="87" t="s">
        <v>56</v>
      </c>
      <c r="AA58" s="186"/>
      <c r="AB58" s="186"/>
      <c r="AC58" s="186"/>
      <c r="AD58" s="186"/>
      <c r="AE58" s="186"/>
      <c r="AF58" s="173"/>
      <c r="AG58" s="186"/>
      <c r="AH58" s="173"/>
      <c r="AI58" s="180"/>
      <c r="AJ58" s="180"/>
      <c r="AK58" s="180"/>
      <c r="AL58" s="180"/>
      <c r="AM58" s="174"/>
    </row>
    <row r="59" spans="1:39">
      <c r="A59" s="83">
        <v>57</v>
      </c>
      <c r="B59" s="83" t="s">
        <v>762</v>
      </c>
      <c r="C59" s="124">
        <v>1</v>
      </c>
      <c r="D59" s="87" t="s">
        <v>57</v>
      </c>
      <c r="AA59" s="189" t="s">
        <v>566</v>
      </c>
      <c r="AB59" s="186"/>
      <c r="AC59" s="186"/>
      <c r="AD59" s="186"/>
      <c r="AE59" s="147" t="s">
        <v>567</v>
      </c>
      <c r="AF59" s="173"/>
      <c r="AG59" s="186"/>
      <c r="AH59" s="173"/>
      <c r="AI59" s="180"/>
      <c r="AJ59" s="180"/>
      <c r="AK59" s="180"/>
      <c r="AL59" s="180"/>
      <c r="AM59" s="174"/>
    </row>
    <row r="60" spans="1:39">
      <c r="A60" s="83">
        <v>58</v>
      </c>
      <c r="B60" s="83" t="s">
        <v>725</v>
      </c>
      <c r="C60" s="124">
        <v>1</v>
      </c>
      <c r="D60" s="87" t="s">
        <v>58</v>
      </c>
      <c r="AA60" s="150"/>
      <c r="AB60" s="150"/>
      <c r="AC60" s="150"/>
      <c r="AD60" s="150"/>
      <c r="AE60" s="147"/>
      <c r="AF60" s="147"/>
      <c r="AG60" s="147"/>
      <c r="AH60" s="151"/>
      <c r="AI60" s="147"/>
      <c r="AJ60" s="150"/>
      <c r="AK60" s="150"/>
      <c r="AL60" s="151"/>
      <c r="AM60" s="147"/>
    </row>
    <row r="61" spans="1:39">
      <c r="A61" s="83">
        <v>59</v>
      </c>
      <c r="B61" s="83" t="s">
        <v>800</v>
      </c>
      <c r="C61" s="124">
        <v>1</v>
      </c>
      <c r="D61" s="87" t="s">
        <v>66</v>
      </c>
      <c r="AA61" s="150"/>
      <c r="AB61" s="150"/>
      <c r="AC61" s="150"/>
      <c r="AD61" s="150"/>
      <c r="AE61" s="151" t="s">
        <v>568</v>
      </c>
      <c r="AF61" s="151" t="s">
        <v>569</v>
      </c>
      <c r="AG61" s="151" t="s">
        <v>570</v>
      </c>
      <c r="AH61" s="151" t="s">
        <v>571</v>
      </c>
      <c r="AI61" s="151" t="s">
        <v>572</v>
      </c>
      <c r="AJ61" s="155" t="s">
        <v>573</v>
      </c>
      <c r="AK61" s="155"/>
      <c r="AL61" s="151"/>
      <c r="AM61" s="147"/>
    </row>
    <row r="62" spans="1:39">
      <c r="A62" s="83">
        <v>60</v>
      </c>
      <c r="B62" s="83" t="s">
        <v>854</v>
      </c>
      <c r="C62" s="124">
        <v>5</v>
      </c>
      <c r="D62" s="87" t="s">
        <v>67</v>
      </c>
      <c r="S62" s="190"/>
      <c r="AA62" s="150"/>
      <c r="AB62" s="150"/>
      <c r="AC62" s="150"/>
      <c r="AD62" s="150"/>
      <c r="AE62" s="151"/>
      <c r="AF62" s="151"/>
      <c r="AG62" s="151"/>
      <c r="AH62" s="151"/>
      <c r="AI62" s="151"/>
      <c r="AJ62" s="191" t="s">
        <v>574</v>
      </c>
      <c r="AK62" s="191"/>
      <c r="AL62" s="192"/>
      <c r="AM62" s="147"/>
    </row>
    <row r="63" spans="1:39">
      <c r="A63" s="83">
        <v>61</v>
      </c>
      <c r="B63" s="83" t="s">
        <v>290</v>
      </c>
      <c r="C63" s="124">
        <v>1</v>
      </c>
      <c r="D63" s="87" t="s">
        <v>68</v>
      </c>
      <c r="AA63" s="150" t="s">
        <v>575</v>
      </c>
      <c r="AB63" s="150"/>
      <c r="AC63" s="150"/>
      <c r="AD63" s="150"/>
      <c r="AE63" s="151"/>
      <c r="AF63" s="151"/>
      <c r="AG63" s="151"/>
      <c r="AH63" s="151"/>
      <c r="AI63" s="151"/>
      <c r="AJ63" s="152" t="s">
        <v>576</v>
      </c>
      <c r="AK63" s="152"/>
      <c r="AL63" s="152"/>
      <c r="AM63" s="147"/>
    </row>
    <row r="64" spans="1:39">
      <c r="A64" s="83">
        <v>62</v>
      </c>
      <c r="B64" s="83" t="s">
        <v>682</v>
      </c>
      <c r="C64" s="124">
        <v>1</v>
      </c>
      <c r="D64" s="87" t="s">
        <v>1088</v>
      </c>
      <c r="AA64" s="150" t="s">
        <v>577</v>
      </c>
      <c r="AB64" s="150" t="s">
        <v>578</v>
      </c>
      <c r="AC64" s="150"/>
      <c r="AD64" s="150"/>
      <c r="AE64" s="193">
        <v>0.08</v>
      </c>
      <c r="AF64" s="193">
        <v>0.09</v>
      </c>
      <c r="AG64" s="193">
        <v>0.12</v>
      </c>
      <c r="AH64" s="166">
        <v>0.18</v>
      </c>
      <c r="AI64" s="193">
        <v>0.2</v>
      </c>
      <c r="AJ64" s="152" t="s">
        <v>579</v>
      </c>
      <c r="AK64" s="152"/>
      <c r="AL64" s="152"/>
      <c r="AM64" s="147"/>
    </row>
    <row r="65" spans="1:39">
      <c r="A65" s="83">
        <v>63</v>
      </c>
      <c r="B65" s="83" t="s">
        <v>922</v>
      </c>
      <c r="C65" s="124">
        <v>1</v>
      </c>
      <c r="D65" s="87" t="s">
        <v>69</v>
      </c>
      <c r="K65" s="102" t="s">
        <v>474</v>
      </c>
      <c r="L65" s="102"/>
      <c r="M65" s="102"/>
      <c r="N65" s="102"/>
      <c r="O65" s="194" t="s">
        <v>461</v>
      </c>
      <c r="P65" s="195"/>
      <c r="Q65" s="196" t="s">
        <v>473</v>
      </c>
      <c r="R65" s="197"/>
      <c r="AA65" s="150" t="s">
        <v>580</v>
      </c>
      <c r="AB65" s="150" t="s">
        <v>581</v>
      </c>
      <c r="AC65" s="150"/>
      <c r="AD65" s="150"/>
      <c r="AE65" s="193">
        <v>0.05</v>
      </c>
      <c r="AF65" s="161">
        <v>5.7500000000000002E-2</v>
      </c>
      <c r="AG65" s="193">
        <v>0.08</v>
      </c>
      <c r="AH65" s="167">
        <v>0.13250000000000001</v>
      </c>
      <c r="AI65" s="193">
        <v>0.15</v>
      </c>
      <c r="AJ65" s="152" t="s">
        <v>582</v>
      </c>
      <c r="AK65" s="152"/>
      <c r="AL65" s="152"/>
      <c r="AM65" s="147"/>
    </row>
    <row r="66" spans="1:39">
      <c r="A66" s="83">
        <v>64</v>
      </c>
      <c r="B66" s="83" t="s">
        <v>1007</v>
      </c>
      <c r="C66" s="124">
        <v>1</v>
      </c>
      <c r="D66" s="87" t="s">
        <v>71</v>
      </c>
      <c r="O66" s="163" t="s">
        <v>596</v>
      </c>
      <c r="P66" s="163">
        <f>80/100</f>
        <v>0.8</v>
      </c>
      <c r="Q66" s="163" t="s">
        <v>597</v>
      </c>
      <c r="R66" s="163">
        <f>95/100</f>
        <v>0.95</v>
      </c>
      <c r="AA66" s="150"/>
      <c r="AB66" s="150"/>
      <c r="AC66" s="150"/>
      <c r="AD66" s="150"/>
      <c r="AE66" s="166"/>
      <c r="AF66" s="166"/>
      <c r="AG66" s="166"/>
      <c r="AH66" s="166"/>
      <c r="AI66" s="147"/>
      <c r="AJ66" s="152" t="s">
        <v>583</v>
      </c>
      <c r="AK66" s="152"/>
      <c r="AL66" s="152"/>
      <c r="AM66" s="147"/>
    </row>
    <row r="67" spans="1:39">
      <c r="A67" s="83">
        <v>65</v>
      </c>
      <c r="B67" s="83" t="s">
        <v>923</v>
      </c>
      <c r="C67" s="124">
        <v>1</v>
      </c>
      <c r="D67" s="87" t="s">
        <v>72</v>
      </c>
      <c r="O67" s="163" t="s">
        <v>597</v>
      </c>
      <c r="P67" s="163">
        <f>20/100</f>
        <v>0.2</v>
      </c>
      <c r="Q67" s="163" t="s">
        <v>596</v>
      </c>
      <c r="R67" s="163">
        <f>5/100</f>
        <v>0.05</v>
      </c>
      <c r="AA67" s="150"/>
      <c r="AB67" s="150"/>
      <c r="AC67" s="150"/>
      <c r="AD67" s="150"/>
      <c r="AE67" s="166"/>
      <c r="AF67" s="166"/>
      <c r="AG67" s="166"/>
      <c r="AH67" s="166"/>
      <c r="AI67" s="147"/>
      <c r="AJ67" s="152" t="s">
        <v>584</v>
      </c>
      <c r="AK67" s="152"/>
      <c r="AL67" s="152"/>
      <c r="AM67" s="147"/>
    </row>
    <row r="68" spans="1:39" ht="13.5" thickBot="1">
      <c r="A68" s="83">
        <v>66</v>
      </c>
      <c r="B68" s="83" t="s">
        <v>726</v>
      </c>
      <c r="C68" s="124">
        <v>3</v>
      </c>
      <c r="D68" s="87" t="s">
        <v>73</v>
      </c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</row>
    <row r="69" spans="1:39" ht="13.5" thickTop="1">
      <c r="A69" s="83">
        <v>67</v>
      </c>
      <c r="B69" s="83" t="s">
        <v>697</v>
      </c>
      <c r="C69" s="124">
        <v>1</v>
      </c>
      <c r="D69" s="87" t="s">
        <v>1168</v>
      </c>
      <c r="E69" s="385" t="s">
        <v>457</v>
      </c>
      <c r="F69" s="386"/>
      <c r="G69" s="386"/>
      <c r="H69" s="386"/>
      <c r="I69" s="387"/>
      <c r="J69" s="381" t="s">
        <v>517</v>
      </c>
      <c r="K69" s="382"/>
      <c r="L69" s="378" t="s">
        <v>458</v>
      </c>
      <c r="M69" s="379"/>
      <c r="N69" s="378" t="s">
        <v>459</v>
      </c>
      <c r="O69" s="380"/>
      <c r="P69" s="380"/>
      <c r="Q69" s="379"/>
      <c r="R69" s="198" t="s">
        <v>460</v>
      </c>
      <c r="AA69" s="150"/>
      <c r="AB69" s="150"/>
      <c r="AC69" s="150"/>
      <c r="AD69" s="150"/>
      <c r="AE69" s="150"/>
      <c r="AF69" s="150"/>
      <c r="AG69" s="150"/>
      <c r="AH69" s="150"/>
      <c r="AI69" s="147"/>
      <c r="AJ69" s="152"/>
      <c r="AK69" s="152"/>
      <c r="AL69" s="152"/>
      <c r="AM69" s="147"/>
    </row>
    <row r="70" spans="1:39">
      <c r="A70" s="83">
        <v>68</v>
      </c>
      <c r="B70" s="83" t="s">
        <v>663</v>
      </c>
      <c r="C70" s="124">
        <v>1</v>
      </c>
      <c r="D70" s="87" t="s">
        <v>74</v>
      </c>
      <c r="E70" s="388"/>
      <c r="F70" s="389"/>
      <c r="G70" s="389"/>
      <c r="H70" s="389"/>
      <c r="I70" s="390"/>
      <c r="J70" s="199"/>
      <c r="K70" s="200"/>
      <c r="L70" s="201"/>
      <c r="M70" s="201"/>
      <c r="N70" s="201" t="s">
        <v>594</v>
      </c>
      <c r="O70" s="201" t="s">
        <v>594</v>
      </c>
      <c r="P70" s="201" t="s">
        <v>595</v>
      </c>
      <c r="Q70" s="201" t="s">
        <v>595</v>
      </c>
      <c r="R70" s="201" t="s">
        <v>588</v>
      </c>
      <c r="AA70" s="149" t="s">
        <v>585</v>
      </c>
      <c r="AB70" s="150"/>
      <c r="AC70" s="150"/>
      <c r="AD70" s="150"/>
      <c r="AE70" s="147" t="s">
        <v>567</v>
      </c>
      <c r="AF70" s="147"/>
      <c r="AG70" s="147"/>
      <c r="AH70" s="151"/>
      <c r="AI70" s="150"/>
      <c r="AJ70" s="152"/>
      <c r="AK70" s="150"/>
      <c r="AL70" s="152"/>
      <c r="AM70" s="150"/>
    </row>
    <row r="71" spans="1:39" ht="13.5" thickBot="1">
      <c r="A71" s="83">
        <v>69</v>
      </c>
      <c r="B71" s="83" t="s">
        <v>763</v>
      </c>
      <c r="C71" s="124">
        <v>1</v>
      </c>
      <c r="D71" s="87" t="s">
        <v>75</v>
      </c>
      <c r="E71" s="391"/>
      <c r="F71" s="392"/>
      <c r="G71" s="392"/>
      <c r="H71" s="392"/>
      <c r="I71" s="393"/>
      <c r="J71" s="202"/>
      <c r="K71" s="203"/>
      <c r="L71" s="204" t="s">
        <v>592</v>
      </c>
      <c r="M71" s="204" t="s">
        <v>593</v>
      </c>
      <c r="N71" s="204" t="s">
        <v>591</v>
      </c>
      <c r="O71" s="204" t="s">
        <v>590</v>
      </c>
      <c r="P71" s="204" t="s">
        <v>591</v>
      </c>
      <c r="Q71" s="204" t="s">
        <v>590</v>
      </c>
      <c r="R71" s="204" t="s">
        <v>1123</v>
      </c>
      <c r="AA71" s="149"/>
      <c r="AB71" s="150"/>
      <c r="AC71" s="150"/>
      <c r="AD71" s="150"/>
      <c r="AE71" s="147"/>
      <c r="AF71" s="147"/>
      <c r="AG71" s="147"/>
      <c r="AH71" s="151"/>
      <c r="AI71" s="150"/>
      <c r="AJ71" s="152"/>
      <c r="AK71" s="150"/>
      <c r="AL71" s="152"/>
      <c r="AM71" s="150"/>
    </row>
    <row r="72" spans="1:39" ht="13.5" thickTop="1">
      <c r="A72" s="83">
        <v>70</v>
      </c>
      <c r="B72" s="83" t="s">
        <v>63</v>
      </c>
      <c r="C72" s="124">
        <v>1</v>
      </c>
      <c r="D72" s="87" t="s">
        <v>64</v>
      </c>
      <c r="I72" s="83"/>
      <c r="N72" s="83"/>
      <c r="Q72" s="83"/>
      <c r="R72" s="83"/>
      <c r="AA72" s="150"/>
      <c r="AB72" s="150"/>
      <c r="AC72" s="150"/>
      <c r="AD72" s="150"/>
      <c r="AE72" s="151" t="s">
        <v>568</v>
      </c>
      <c r="AF72" s="151" t="s">
        <v>569</v>
      </c>
      <c r="AG72" s="151" t="s">
        <v>570</v>
      </c>
      <c r="AH72" s="151" t="s">
        <v>571</v>
      </c>
      <c r="AI72" s="151" t="s">
        <v>572</v>
      </c>
      <c r="AJ72" s="155" t="s">
        <v>573</v>
      </c>
      <c r="AK72" s="155"/>
      <c r="AL72" s="152"/>
      <c r="AM72" s="150"/>
    </row>
    <row r="73" spans="1:39">
      <c r="A73" s="83">
        <v>71</v>
      </c>
      <c r="B73" s="83" t="s">
        <v>638</v>
      </c>
      <c r="C73" s="124">
        <v>1</v>
      </c>
      <c r="D73" s="87" t="s">
        <v>1099</v>
      </c>
      <c r="H73" s="157"/>
      <c r="I73" s="157"/>
      <c r="J73" s="157"/>
      <c r="K73" s="205"/>
      <c r="L73" s="205"/>
      <c r="M73" s="205"/>
      <c r="N73" s="205"/>
      <c r="O73" s="205"/>
      <c r="P73" s="205"/>
      <c r="Q73" s="205"/>
      <c r="R73" s="171"/>
      <c r="AA73" s="150"/>
      <c r="AB73" s="150"/>
      <c r="AC73" s="150"/>
      <c r="AD73" s="150"/>
      <c r="AE73" s="150"/>
      <c r="AF73" s="150"/>
      <c r="AG73" s="150"/>
      <c r="AH73" s="150"/>
      <c r="AI73" s="150"/>
      <c r="AJ73" s="191" t="s">
        <v>574</v>
      </c>
      <c r="AK73" s="191"/>
      <c r="AL73" s="192"/>
      <c r="AM73" s="150"/>
    </row>
    <row r="74" spans="1:39">
      <c r="A74" s="83">
        <v>72</v>
      </c>
      <c r="B74" s="83" t="s">
        <v>770</v>
      </c>
      <c r="C74" s="124">
        <v>2</v>
      </c>
      <c r="D74" s="87" t="s">
        <v>419</v>
      </c>
      <c r="E74" s="384" t="s">
        <v>512</v>
      </c>
      <c r="F74" s="384"/>
      <c r="G74" s="384"/>
      <c r="H74" s="383" t="s">
        <v>288</v>
      </c>
      <c r="I74" s="383"/>
      <c r="J74" s="167" t="s">
        <v>405</v>
      </c>
      <c r="K74" s="206">
        <v>0</v>
      </c>
      <c r="L74" s="163">
        <f>8/100</f>
        <v>0.08</v>
      </c>
      <c r="M74" s="163">
        <f>5/100</f>
        <v>0.05</v>
      </c>
      <c r="N74" s="163">
        <f>32/100</f>
        <v>0.32</v>
      </c>
      <c r="O74" s="163">
        <f>13/100</f>
        <v>0.13</v>
      </c>
      <c r="P74" s="163">
        <f>0/100</f>
        <v>0</v>
      </c>
      <c r="Q74" s="163">
        <f>0/100</f>
        <v>0</v>
      </c>
      <c r="R74" s="163">
        <f>6/100</f>
        <v>0.06</v>
      </c>
      <c r="AA74" s="150" t="s">
        <v>575</v>
      </c>
      <c r="AB74" s="150"/>
      <c r="AC74" s="150"/>
      <c r="AD74" s="150"/>
      <c r="AE74" s="150"/>
      <c r="AF74" s="150"/>
      <c r="AG74" s="150"/>
      <c r="AH74" s="152"/>
      <c r="AI74" s="150"/>
      <c r="AJ74" s="152" t="s">
        <v>576</v>
      </c>
      <c r="AK74" s="152"/>
      <c r="AL74" s="152"/>
      <c r="AM74" s="152"/>
    </row>
    <row r="75" spans="1:39">
      <c r="A75" s="83">
        <v>73</v>
      </c>
      <c r="B75" s="83" t="s">
        <v>683</v>
      </c>
      <c r="C75" s="124">
        <v>1</v>
      </c>
      <c r="D75" s="87" t="s">
        <v>1093</v>
      </c>
      <c r="E75" s="384" t="s">
        <v>513</v>
      </c>
      <c r="F75" s="384"/>
      <c r="G75" s="384"/>
      <c r="H75" s="383" t="s">
        <v>518</v>
      </c>
      <c r="I75" s="383"/>
      <c r="J75" s="151" t="s">
        <v>405</v>
      </c>
      <c r="K75" s="206">
        <v>0.25</v>
      </c>
      <c r="L75" s="163">
        <f>(8/100)+0.25*(12/100-8/100)</f>
        <v>0.09</v>
      </c>
      <c r="M75" s="207">
        <f>(5/100)+0.25*(8/100-5/100)</f>
        <v>5.7500000000000002E-2</v>
      </c>
      <c r="N75" s="163">
        <f>(32/100)+$K$75*(84/100-32/100)</f>
        <v>0.45</v>
      </c>
      <c r="O75" s="207">
        <f>(13/100)+$K$75*(34/100-13/100)</f>
        <v>0.1825</v>
      </c>
      <c r="P75" s="163">
        <f>(0/100)+$K$75*(16/100-0/100)</f>
        <v>0.04</v>
      </c>
      <c r="Q75" s="163">
        <f>(0/100)+$K$75*(4/100-0/100)</f>
        <v>0.01</v>
      </c>
      <c r="R75" s="163">
        <f>6/100</f>
        <v>0.06</v>
      </c>
      <c r="AA75" s="150" t="s">
        <v>414</v>
      </c>
      <c r="AB75" s="150" t="s">
        <v>586</v>
      </c>
      <c r="AC75" s="150"/>
      <c r="AD75" s="150"/>
      <c r="AE75" s="193">
        <v>0.32</v>
      </c>
      <c r="AF75" s="193">
        <v>0.45</v>
      </c>
      <c r="AG75" s="193">
        <v>0.84</v>
      </c>
      <c r="AH75" s="166">
        <v>1.29</v>
      </c>
      <c r="AI75" s="193">
        <v>1.58</v>
      </c>
      <c r="AJ75" s="152" t="s">
        <v>579</v>
      </c>
      <c r="AK75" s="152"/>
      <c r="AL75" s="152"/>
      <c r="AM75" s="152"/>
    </row>
    <row r="76" spans="1:39">
      <c r="A76" s="83">
        <v>74</v>
      </c>
      <c r="B76" s="83" t="s">
        <v>855</v>
      </c>
      <c r="C76" s="124">
        <v>4</v>
      </c>
      <c r="D76" s="87" t="s">
        <v>76</v>
      </c>
      <c r="E76" s="384" t="s">
        <v>514</v>
      </c>
      <c r="F76" s="384"/>
      <c r="G76" s="384"/>
      <c r="H76" s="383" t="s">
        <v>519</v>
      </c>
      <c r="I76" s="383"/>
      <c r="J76" s="150" t="s">
        <v>405</v>
      </c>
      <c r="K76" s="206">
        <v>0.5</v>
      </c>
      <c r="L76" s="163">
        <f>12/100</f>
        <v>0.12</v>
      </c>
      <c r="M76" s="163">
        <f>8/100</f>
        <v>0.08</v>
      </c>
      <c r="N76" s="163">
        <f>84/100</f>
        <v>0.84</v>
      </c>
      <c r="O76" s="163">
        <f>34/100</f>
        <v>0.34</v>
      </c>
      <c r="P76" s="163">
        <f>16/100</f>
        <v>0.16</v>
      </c>
      <c r="Q76" s="163">
        <f>4/100</f>
        <v>0.04</v>
      </c>
      <c r="R76" s="163">
        <f>6/100</f>
        <v>0.06</v>
      </c>
      <c r="AA76" s="150" t="s">
        <v>414</v>
      </c>
      <c r="AB76" s="150" t="s">
        <v>587</v>
      </c>
      <c r="AC76" s="150"/>
      <c r="AD76" s="150"/>
      <c r="AE76" s="193">
        <v>0.13</v>
      </c>
      <c r="AF76" s="161">
        <v>0.1825</v>
      </c>
      <c r="AG76" s="193">
        <v>0.34</v>
      </c>
      <c r="AH76" s="167">
        <v>0.67749999999999999</v>
      </c>
      <c r="AI76" s="193">
        <v>0.79</v>
      </c>
      <c r="AJ76" s="152" t="s">
        <v>582</v>
      </c>
      <c r="AK76" s="152"/>
      <c r="AL76" s="152"/>
      <c r="AM76" s="152"/>
    </row>
    <row r="77" spans="1:39">
      <c r="A77" s="83">
        <v>75</v>
      </c>
      <c r="B77" s="83" t="s">
        <v>639</v>
      </c>
      <c r="C77" s="124">
        <v>3</v>
      </c>
      <c r="D77" s="87" t="s">
        <v>1100</v>
      </c>
      <c r="E77" s="384" t="s">
        <v>515</v>
      </c>
      <c r="F77" s="384"/>
      <c r="G77" s="384"/>
      <c r="H77" s="383" t="s">
        <v>520</v>
      </c>
      <c r="I77" s="383"/>
      <c r="J77" s="150" t="s">
        <v>405</v>
      </c>
      <c r="K77" s="206">
        <v>0.75</v>
      </c>
      <c r="L77" s="163">
        <f>(12/100)+0.75*(20/100-12/100)</f>
        <v>0.18</v>
      </c>
      <c r="M77" s="207">
        <f>(8/100)+0.75*(15/100-8/100)</f>
        <v>0.13250000000000001</v>
      </c>
      <c r="N77" s="163">
        <f>(84/100)+$K$77*(144/100-84/100)</f>
        <v>1.29</v>
      </c>
      <c r="O77" s="207">
        <f>(34/100)+$K$77*(79/100-34/100)</f>
        <v>0.67749999999999999</v>
      </c>
      <c r="P77" s="163">
        <f>(16/100)+$K$77*(56/100-16/100)</f>
        <v>0.46000000000000008</v>
      </c>
      <c r="Q77" s="163">
        <f>(4/100)+$K$77*(64/100-4/100)</f>
        <v>0.48999999999999994</v>
      </c>
      <c r="R77" s="163">
        <f>6/100</f>
        <v>0.06</v>
      </c>
      <c r="AA77" s="150" t="s">
        <v>415</v>
      </c>
      <c r="AB77" s="150" t="s">
        <v>586</v>
      </c>
      <c r="AC77" s="150"/>
      <c r="AD77" s="150"/>
      <c r="AE77" s="193">
        <v>0</v>
      </c>
      <c r="AF77" s="193">
        <v>0.04</v>
      </c>
      <c r="AG77" s="193">
        <v>0.16</v>
      </c>
      <c r="AH77" s="166">
        <v>0.46</v>
      </c>
      <c r="AI77" s="193">
        <v>0.56000000000000005</v>
      </c>
      <c r="AJ77" s="152" t="s">
        <v>583</v>
      </c>
      <c r="AK77" s="152"/>
      <c r="AL77" s="152"/>
      <c r="AM77" s="152"/>
    </row>
    <row r="78" spans="1:39">
      <c r="A78" s="83">
        <v>76</v>
      </c>
      <c r="B78" s="83" t="s">
        <v>856</v>
      </c>
      <c r="C78" s="124">
        <v>1</v>
      </c>
      <c r="D78" s="87" t="s">
        <v>129</v>
      </c>
      <c r="E78" s="384" t="s">
        <v>516</v>
      </c>
      <c r="F78" s="384"/>
      <c r="G78" s="384"/>
      <c r="H78" s="383" t="s">
        <v>289</v>
      </c>
      <c r="I78" s="383"/>
      <c r="J78" s="150" t="s">
        <v>405</v>
      </c>
      <c r="K78" s="206">
        <v>1</v>
      </c>
      <c r="L78" s="163">
        <f>20/100</f>
        <v>0.2</v>
      </c>
      <c r="M78" s="163">
        <f>15/100</f>
        <v>0.15</v>
      </c>
      <c r="N78" s="163">
        <f>158/100</f>
        <v>1.58</v>
      </c>
      <c r="O78" s="163">
        <f>79/100</f>
        <v>0.79</v>
      </c>
      <c r="P78" s="163">
        <f>56/100</f>
        <v>0.56000000000000005</v>
      </c>
      <c r="Q78" s="163">
        <f>64/100</f>
        <v>0.64</v>
      </c>
      <c r="R78" s="163">
        <f>6/100</f>
        <v>0.06</v>
      </c>
      <c r="AA78" s="150" t="s">
        <v>415</v>
      </c>
      <c r="AB78" s="150" t="s">
        <v>587</v>
      </c>
      <c r="AC78" s="150"/>
      <c r="AD78" s="150"/>
      <c r="AE78" s="193">
        <v>0</v>
      </c>
      <c r="AF78" s="193">
        <v>0.01</v>
      </c>
      <c r="AG78" s="193">
        <v>0.04</v>
      </c>
      <c r="AH78" s="193">
        <v>0.49</v>
      </c>
      <c r="AI78" s="193">
        <v>0.64</v>
      </c>
      <c r="AJ78" s="152" t="s">
        <v>584</v>
      </c>
      <c r="AK78" s="152"/>
      <c r="AL78" s="152"/>
      <c r="AM78" s="152"/>
    </row>
    <row r="79" spans="1:39" ht="15">
      <c r="A79" s="83">
        <v>77</v>
      </c>
      <c r="B79" s="83" t="s">
        <v>801</v>
      </c>
      <c r="C79" s="124">
        <v>1</v>
      </c>
      <c r="D79" s="87" t="s">
        <v>77</v>
      </c>
      <c r="H79" s="208"/>
      <c r="I79" s="150"/>
      <c r="J79" s="150"/>
      <c r="K79" s="206"/>
      <c r="L79" s="163"/>
      <c r="M79" s="207"/>
      <c r="N79" s="163"/>
      <c r="O79" s="207"/>
      <c r="P79" s="163"/>
      <c r="Q79" s="163"/>
      <c r="R79" s="163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48"/>
      <c r="AM79" s="152"/>
    </row>
    <row r="80" spans="1:39">
      <c r="A80" s="83">
        <v>78</v>
      </c>
      <c r="B80" s="83" t="s">
        <v>924</v>
      </c>
      <c r="C80" s="124">
        <v>1</v>
      </c>
      <c r="D80" s="87" t="s">
        <v>78</v>
      </c>
      <c r="K80" s="87" t="s">
        <v>510</v>
      </c>
      <c r="N80" s="134" t="s">
        <v>511</v>
      </c>
      <c r="AA80" s="157"/>
      <c r="AB80" s="157"/>
      <c r="AC80" s="157"/>
      <c r="AD80" s="167"/>
      <c r="AE80" s="167"/>
      <c r="AF80" s="167"/>
      <c r="AG80" s="167"/>
      <c r="AH80" s="167"/>
      <c r="AI80" s="167"/>
      <c r="AJ80" s="167"/>
      <c r="AK80" s="167"/>
      <c r="AL80" s="148"/>
      <c r="AM80" s="147"/>
    </row>
    <row r="81" spans="1:39">
      <c r="A81" s="83">
        <v>79</v>
      </c>
      <c r="B81" s="83" t="s">
        <v>698</v>
      </c>
      <c r="C81" s="124">
        <v>1</v>
      </c>
      <c r="D81" s="87" t="s">
        <v>1170</v>
      </c>
      <c r="I81" s="140" t="s">
        <v>480</v>
      </c>
      <c r="K81" s="207" t="s">
        <v>598</v>
      </c>
      <c r="L81" s="207" t="s">
        <v>599</v>
      </c>
      <c r="M81" s="207" t="s">
        <v>600</v>
      </c>
      <c r="N81" s="207" t="s">
        <v>598</v>
      </c>
      <c r="O81" s="207" t="s">
        <v>599</v>
      </c>
      <c r="P81" s="207" t="s">
        <v>600</v>
      </c>
      <c r="AA81" s="149"/>
      <c r="AB81" s="150"/>
      <c r="AC81" s="150"/>
      <c r="AD81" s="209"/>
      <c r="AE81" s="166"/>
      <c r="AF81" s="167"/>
      <c r="AG81" s="166"/>
      <c r="AH81" s="167"/>
      <c r="AI81" s="166"/>
      <c r="AJ81" s="166"/>
      <c r="AK81" s="166"/>
      <c r="AL81" s="148"/>
      <c r="AM81" s="147"/>
    </row>
    <row r="82" spans="1:39">
      <c r="A82" s="83">
        <v>80</v>
      </c>
      <c r="B82" s="83" t="s">
        <v>802</v>
      </c>
      <c r="C82" s="124">
        <v>5</v>
      </c>
      <c r="D82" s="87" t="s">
        <v>80</v>
      </c>
      <c r="E82" s="377" t="s">
        <v>525</v>
      </c>
      <c r="F82" s="377"/>
      <c r="G82" s="377"/>
      <c r="H82" s="210" t="s">
        <v>1019</v>
      </c>
      <c r="I82" s="157" t="s">
        <v>1080</v>
      </c>
      <c r="J82" s="83" t="s">
        <v>1035</v>
      </c>
      <c r="K82" s="211">
        <f>$AF$32</f>
        <v>28.67</v>
      </c>
      <c r="L82" s="211">
        <f>$AF$33</f>
        <v>23.51</v>
      </c>
      <c r="M82" s="211">
        <f>$AF$34</f>
        <v>20.93</v>
      </c>
      <c r="N82" s="211">
        <f>$AF$35</f>
        <v>22.46</v>
      </c>
      <c r="O82" s="211">
        <f>$AF$36</f>
        <v>17.3</v>
      </c>
      <c r="P82" s="211">
        <f>$AF$37</f>
        <v>16.27</v>
      </c>
      <c r="AA82" s="212"/>
      <c r="AB82" s="213"/>
      <c r="AC82" s="174"/>
      <c r="AD82" s="173"/>
      <c r="AE82" s="186"/>
      <c r="AF82" s="214"/>
      <c r="AG82" s="186"/>
      <c r="AH82" s="214"/>
      <c r="AI82" s="215"/>
      <c r="AJ82" s="186"/>
      <c r="AK82" s="186"/>
      <c r="AL82" s="148"/>
      <c r="AM82" s="148"/>
    </row>
    <row r="83" spans="1:39">
      <c r="A83" s="83">
        <v>81</v>
      </c>
      <c r="B83" s="83" t="s">
        <v>481</v>
      </c>
      <c r="C83" s="124">
        <v>1</v>
      </c>
      <c r="D83" s="87" t="s">
        <v>1169</v>
      </c>
      <c r="H83" s="210" t="s">
        <v>1020</v>
      </c>
      <c r="I83" s="157" t="s">
        <v>458</v>
      </c>
      <c r="J83" s="83" t="s">
        <v>1035</v>
      </c>
      <c r="K83" s="211">
        <f>ROUND($P$66*($L$74*$AF$32)+$P$67*($M$74*$AF$32),2)</f>
        <v>2.12</v>
      </c>
      <c r="L83" s="211">
        <f>ROUND($P$66*($L$74*$AF$33)+$P$67*($M$74*$AF$33),2)</f>
        <v>1.74</v>
      </c>
      <c r="M83" s="211">
        <f>ROUND($P$66*($L$74*$AF$34)+$P$67*($M$74*$AF$34),2)</f>
        <v>1.55</v>
      </c>
      <c r="N83" s="211">
        <f>ROUND($R$66*($M$74*$AF$35)+$R$67*($L$74*$N$82),2)</f>
        <v>1.1599999999999999</v>
      </c>
      <c r="O83" s="211">
        <f>ROUND($R$66*($M$74*$AF$36)+$R$67*($L$74*$AF$36),2)</f>
        <v>0.89</v>
      </c>
      <c r="P83" s="211">
        <f>ROUND($R$66*($M$74*$AF$37)+$R$67*($L$74*$AF$37),2)</f>
        <v>0.84</v>
      </c>
      <c r="AA83" s="157"/>
      <c r="AB83" s="157"/>
      <c r="AC83" s="157"/>
      <c r="AD83" s="171"/>
      <c r="AE83" s="157"/>
      <c r="AF83" s="216"/>
      <c r="AG83" s="157"/>
      <c r="AH83" s="216"/>
      <c r="AI83" s="205"/>
      <c r="AJ83" s="157"/>
      <c r="AK83" s="157"/>
      <c r="AL83" s="148"/>
      <c r="AM83" s="148"/>
    </row>
    <row r="84" spans="1:39">
      <c r="A84" s="83">
        <v>82</v>
      </c>
      <c r="B84" s="83" t="s">
        <v>727</v>
      </c>
      <c r="C84" s="124">
        <v>1</v>
      </c>
      <c r="D84" s="87" t="s">
        <v>81</v>
      </c>
      <c r="H84" s="210" t="s">
        <v>477</v>
      </c>
      <c r="I84" s="157" t="s">
        <v>456</v>
      </c>
      <c r="J84" s="83" t="s">
        <v>479</v>
      </c>
      <c r="K84" s="211">
        <f>ROUND(($N$74*$AF$32)/1.185,2)</f>
        <v>7.74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S84" s="211"/>
      <c r="AA84" s="157"/>
      <c r="AB84" s="157"/>
      <c r="AC84" s="157"/>
      <c r="AD84" s="171"/>
      <c r="AE84" s="157"/>
      <c r="AF84" s="149"/>
      <c r="AG84" s="150"/>
      <c r="AH84" s="167"/>
      <c r="AI84" s="217"/>
      <c r="AJ84" s="150"/>
      <c r="AK84" s="150"/>
      <c r="AL84" s="148"/>
      <c r="AM84" s="148"/>
    </row>
    <row r="85" spans="1:39">
      <c r="A85" s="83">
        <v>83</v>
      </c>
      <c r="B85" s="83" t="s">
        <v>1004</v>
      </c>
      <c r="C85" s="124">
        <v>1</v>
      </c>
      <c r="D85" s="87" t="s">
        <v>82</v>
      </c>
      <c r="H85" s="210" t="s">
        <v>478</v>
      </c>
      <c r="I85" s="157" t="s">
        <v>459</v>
      </c>
      <c r="J85" s="83" t="s">
        <v>1036</v>
      </c>
      <c r="K85" s="218">
        <v>0</v>
      </c>
      <c r="L85" s="218">
        <f>ROUND(($O$74*$AF$33)/1.185,2)</f>
        <v>2.58</v>
      </c>
      <c r="M85" s="218">
        <f>ROUND(($O$74*$AF$34)/1.185,2)</f>
        <v>2.2999999999999998</v>
      </c>
      <c r="N85" s="218">
        <f>ROUND(($P$74*$L$82)/1.185,2)</f>
        <v>0</v>
      </c>
      <c r="O85" s="218">
        <f>ROUND(($Q$74*$L$82)/1.185,2)</f>
        <v>0</v>
      </c>
      <c r="P85" s="93">
        <v>0</v>
      </c>
      <c r="AA85" s="157"/>
      <c r="AB85" s="157"/>
      <c r="AC85" s="157"/>
      <c r="AD85" s="171"/>
      <c r="AE85" s="157"/>
      <c r="AF85" s="150"/>
      <c r="AG85" s="150"/>
      <c r="AH85" s="167"/>
      <c r="AI85" s="167"/>
      <c r="AJ85" s="150"/>
      <c r="AK85" s="150"/>
      <c r="AL85" s="148"/>
      <c r="AM85" s="148"/>
    </row>
    <row r="86" spans="1:39">
      <c r="A86" s="83">
        <v>84</v>
      </c>
      <c r="B86" s="83" t="s">
        <v>925</v>
      </c>
      <c r="C86" s="124">
        <v>1</v>
      </c>
      <c r="D86" s="87" t="s">
        <v>83</v>
      </c>
      <c r="H86" s="210" t="s">
        <v>1021</v>
      </c>
      <c r="I86" s="157" t="s">
        <v>476</v>
      </c>
      <c r="J86" s="83" t="s">
        <v>1035</v>
      </c>
      <c r="K86" s="211">
        <f>ROUND($R$74*$AF$32,2)</f>
        <v>1.72</v>
      </c>
      <c r="L86" s="211">
        <f>ROUND($R$74*$AF$33,2)</f>
        <v>1.41</v>
      </c>
      <c r="M86" s="211">
        <f>ROUND($R$74*$AF$34,2)</f>
        <v>1.26</v>
      </c>
      <c r="N86" s="211">
        <f>ROUND($R$74*$AF$35,2)</f>
        <v>1.35</v>
      </c>
      <c r="O86" s="211">
        <f>ROUND($R$74*$AF$36,2)</f>
        <v>1.04</v>
      </c>
      <c r="P86" s="211">
        <f>ROUND($R$74*$AF$37,2)</f>
        <v>0.98</v>
      </c>
      <c r="AA86" s="213"/>
      <c r="AB86" s="213"/>
      <c r="AC86" s="213"/>
      <c r="AD86" s="219"/>
      <c r="AE86" s="213"/>
      <c r="AF86" s="213"/>
      <c r="AG86" s="213"/>
      <c r="AH86" s="220"/>
      <c r="AI86" s="214"/>
      <c r="AJ86" s="174"/>
      <c r="AK86" s="220"/>
      <c r="AL86" s="148"/>
      <c r="AM86" s="148"/>
    </row>
    <row r="87" spans="1:39">
      <c r="A87" s="83">
        <v>85</v>
      </c>
      <c r="B87" s="83" t="s">
        <v>999</v>
      </c>
      <c r="C87" s="124">
        <v>1</v>
      </c>
      <c r="D87" s="87" t="s">
        <v>84</v>
      </c>
      <c r="AA87" s="221"/>
      <c r="AB87" s="222"/>
      <c r="AC87" s="213"/>
      <c r="AD87" s="219"/>
      <c r="AE87" s="213"/>
      <c r="AF87" s="213"/>
      <c r="AG87" s="213"/>
      <c r="AH87" s="220"/>
      <c r="AI87" s="214"/>
      <c r="AJ87" s="214"/>
      <c r="AK87" s="223"/>
      <c r="AL87" s="148"/>
      <c r="AM87" s="148"/>
    </row>
    <row r="88" spans="1:39">
      <c r="A88" s="83">
        <v>86</v>
      </c>
      <c r="B88" s="83" t="s">
        <v>857</v>
      </c>
      <c r="C88" s="124">
        <v>1</v>
      </c>
      <c r="D88" s="87" t="s">
        <v>85</v>
      </c>
      <c r="K88" s="87" t="s">
        <v>510</v>
      </c>
      <c r="N88" s="134" t="s">
        <v>511</v>
      </c>
      <c r="S88" s="211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48"/>
      <c r="AM88" s="148"/>
    </row>
    <row r="89" spans="1:39">
      <c r="A89" s="83">
        <v>87</v>
      </c>
      <c r="B89" s="83" t="s">
        <v>803</v>
      </c>
      <c r="C89" s="124">
        <v>4</v>
      </c>
      <c r="D89" s="87" t="s">
        <v>314</v>
      </c>
      <c r="E89" s="377" t="s">
        <v>526</v>
      </c>
      <c r="F89" s="377"/>
      <c r="G89" s="377"/>
      <c r="H89" s="210" t="s">
        <v>1020</v>
      </c>
      <c r="I89" s="157" t="s">
        <v>458</v>
      </c>
      <c r="J89" s="83" t="s">
        <v>1035</v>
      </c>
      <c r="K89" s="211">
        <f>ROUND($P$66*($L$75*$AF$32)+$P$67*($M$75*$AF$32),2)</f>
        <v>2.39</v>
      </c>
      <c r="L89" s="211">
        <f>ROUND($P$66*($L$75*$AF$33)+$P$67*($M$75*$AF$33),2)</f>
        <v>1.96</v>
      </c>
      <c r="M89" s="211">
        <f>ROUND($P$66*($L$75*$AF$34)+$P$67*($M$75*$AF$34),2)</f>
        <v>1.75</v>
      </c>
      <c r="N89" s="211">
        <f>ROUND($R$66*($M$75*$AF$35)+$R$67*($L$75*$AF$35),2)</f>
        <v>1.33</v>
      </c>
      <c r="O89" s="211">
        <f>ROUND($R$66*($M$75*$AF$36)+$R$67*($L$75*$AF$36),2)</f>
        <v>1.02</v>
      </c>
      <c r="P89" s="211">
        <f>ROUND($R$66*($M$75*$AF$37)+$R$67*($L$75*$AF$37),2)</f>
        <v>0.96</v>
      </c>
      <c r="AA89" s="157"/>
      <c r="AB89" s="157"/>
      <c r="AC89" s="157"/>
      <c r="AD89" s="167"/>
      <c r="AE89" s="167"/>
      <c r="AF89" s="167"/>
      <c r="AG89" s="167"/>
      <c r="AH89" s="167"/>
      <c r="AI89" s="167"/>
      <c r="AJ89" s="167"/>
      <c r="AK89" s="167"/>
      <c r="AL89" s="148"/>
      <c r="AM89" s="148"/>
    </row>
    <row r="90" spans="1:39">
      <c r="A90" s="83">
        <v>88</v>
      </c>
      <c r="B90" s="83" t="s">
        <v>926</v>
      </c>
      <c r="C90" s="124">
        <v>1</v>
      </c>
      <c r="D90" s="87" t="s">
        <v>89</v>
      </c>
      <c r="H90" s="210" t="s">
        <v>477</v>
      </c>
      <c r="I90" s="157" t="s">
        <v>456</v>
      </c>
      <c r="J90" s="83" t="s">
        <v>479</v>
      </c>
      <c r="K90" s="211">
        <f>ROUND(($N$75*$AF$32)/1.185,2)</f>
        <v>10.89</v>
      </c>
      <c r="L90" s="211">
        <v>0</v>
      </c>
      <c r="M90" s="93">
        <v>0</v>
      </c>
      <c r="N90" s="211">
        <f>ROUND(($P$75*$AF$35)/1.185,2)</f>
        <v>0.76</v>
      </c>
      <c r="O90" s="93">
        <v>0</v>
      </c>
      <c r="P90" s="93">
        <v>0</v>
      </c>
      <c r="AA90" s="149"/>
      <c r="AB90" s="150"/>
      <c r="AC90" s="150"/>
      <c r="AD90" s="209"/>
      <c r="AE90" s="166"/>
      <c r="AF90" s="167"/>
      <c r="AG90" s="166"/>
      <c r="AH90" s="167"/>
      <c r="AI90" s="166"/>
      <c r="AJ90" s="166"/>
      <c r="AK90" s="166"/>
      <c r="AL90" s="148"/>
      <c r="AM90" s="148"/>
    </row>
    <row r="91" spans="1:39">
      <c r="A91" s="83">
        <v>89</v>
      </c>
      <c r="B91" s="83" t="s">
        <v>993</v>
      </c>
      <c r="C91" s="124">
        <v>1</v>
      </c>
      <c r="D91" s="87" t="s">
        <v>90</v>
      </c>
      <c r="H91" s="210" t="s">
        <v>478</v>
      </c>
      <c r="I91" s="157" t="s">
        <v>459</v>
      </c>
      <c r="J91" s="83" t="s">
        <v>1036</v>
      </c>
      <c r="K91" s="218">
        <v>0</v>
      </c>
      <c r="L91" s="218">
        <f>ROUND(($O$75*$AF$33)/1.185,2)</f>
        <v>3.62</v>
      </c>
      <c r="M91" s="218">
        <f>ROUND(($O$75*$AF$34)/1.185,2)</f>
        <v>3.22</v>
      </c>
      <c r="N91" s="218">
        <v>0</v>
      </c>
      <c r="O91" s="218">
        <f>ROUND(($Q$75*$AF$36)/1.185,2)</f>
        <v>0.15</v>
      </c>
      <c r="P91" s="218">
        <f>ROUND(($Q$75*$AF$37)/1.185,2)</f>
        <v>0.14000000000000001</v>
      </c>
      <c r="AA91" s="212"/>
      <c r="AB91" s="213"/>
      <c r="AC91" s="174"/>
      <c r="AD91" s="173"/>
      <c r="AE91" s="186"/>
      <c r="AF91" s="214"/>
      <c r="AG91" s="186"/>
      <c r="AH91" s="214"/>
      <c r="AI91" s="215"/>
      <c r="AJ91" s="186"/>
      <c r="AK91" s="186"/>
      <c r="AL91" s="148"/>
      <c r="AM91" s="148"/>
    </row>
    <row r="92" spans="1:39">
      <c r="A92" s="83">
        <v>90</v>
      </c>
      <c r="B92" s="83" t="s">
        <v>728</v>
      </c>
      <c r="C92" s="124">
        <v>1</v>
      </c>
      <c r="D92" s="87" t="s">
        <v>91</v>
      </c>
      <c r="H92" s="210" t="s">
        <v>1021</v>
      </c>
      <c r="I92" s="157" t="s">
        <v>476</v>
      </c>
      <c r="J92" s="83" t="s">
        <v>1035</v>
      </c>
      <c r="K92" s="211">
        <f>ROUND($R$75*$AF$32,2)</f>
        <v>1.72</v>
      </c>
      <c r="L92" s="211">
        <f>ROUND($R$75*$AF$33,2)</f>
        <v>1.41</v>
      </c>
      <c r="M92" s="211">
        <f>ROUND($R$75*$AF$34,2)</f>
        <v>1.26</v>
      </c>
      <c r="N92" s="211">
        <f>ROUND($R$75*$AF$35,2)</f>
        <v>1.35</v>
      </c>
      <c r="O92" s="211">
        <f>ROUND($R$75*$AF$36,2)</f>
        <v>1.04</v>
      </c>
      <c r="P92" s="211">
        <f>ROUND($R$75*$AF$37,2)</f>
        <v>0.98</v>
      </c>
      <c r="AA92" s="157"/>
      <c r="AB92" s="157"/>
      <c r="AC92" s="157"/>
      <c r="AD92" s="171"/>
      <c r="AE92" s="157"/>
      <c r="AF92" s="216"/>
      <c r="AG92" s="157"/>
      <c r="AH92" s="216"/>
      <c r="AI92" s="205"/>
      <c r="AJ92" s="157"/>
      <c r="AK92" s="157"/>
      <c r="AL92" s="148"/>
      <c r="AM92" s="148"/>
    </row>
    <row r="93" spans="1:39">
      <c r="A93" s="83">
        <v>91</v>
      </c>
      <c r="B93" s="83" t="s">
        <v>729</v>
      </c>
      <c r="C93" s="124">
        <v>1</v>
      </c>
      <c r="D93" s="87" t="s">
        <v>92</v>
      </c>
      <c r="AA93" s="157"/>
      <c r="AB93" s="157"/>
      <c r="AC93" s="157"/>
      <c r="AD93" s="171"/>
      <c r="AE93" s="157"/>
      <c r="AF93" s="149"/>
      <c r="AG93" s="150"/>
      <c r="AH93" s="167"/>
      <c r="AI93" s="217"/>
      <c r="AJ93" s="150"/>
      <c r="AK93" s="150"/>
      <c r="AL93" s="148"/>
      <c r="AM93" s="148"/>
    </row>
    <row r="94" spans="1:39">
      <c r="A94" s="83">
        <v>92</v>
      </c>
      <c r="B94" s="83" t="s">
        <v>379</v>
      </c>
      <c r="C94" s="124">
        <v>1</v>
      </c>
      <c r="D94" s="87" t="s">
        <v>11</v>
      </c>
      <c r="K94" s="87" t="s">
        <v>510</v>
      </c>
      <c r="N94" s="134" t="s">
        <v>511</v>
      </c>
      <c r="AA94" s="157"/>
      <c r="AB94" s="157"/>
      <c r="AC94" s="157"/>
      <c r="AD94" s="171"/>
      <c r="AE94" s="157"/>
      <c r="AF94" s="150"/>
      <c r="AG94" s="150"/>
      <c r="AH94" s="167"/>
      <c r="AI94" s="167"/>
      <c r="AJ94" s="150"/>
      <c r="AK94" s="150"/>
      <c r="AL94" s="148"/>
      <c r="AM94" s="148"/>
    </row>
    <row r="95" spans="1:39">
      <c r="A95" s="83">
        <v>93</v>
      </c>
      <c r="B95" s="83" t="s">
        <v>804</v>
      </c>
      <c r="C95" s="124">
        <v>4</v>
      </c>
      <c r="D95" s="87" t="s">
        <v>93</v>
      </c>
      <c r="E95" s="377" t="s">
        <v>527</v>
      </c>
      <c r="F95" s="377"/>
      <c r="G95" s="377"/>
      <c r="H95" s="210" t="s">
        <v>1020</v>
      </c>
      <c r="I95" s="157" t="s">
        <v>458</v>
      </c>
      <c r="J95" s="83" t="s">
        <v>1035</v>
      </c>
      <c r="K95" s="211">
        <f>ROUND($P$66*($L$76*$AF$32)+$P$67*($M$76*$AF$32),2)</f>
        <v>3.21</v>
      </c>
      <c r="L95" s="211">
        <f>ROUND($P$66*($L$76*$AF$33)+$P$67*($M$76*$AF$33),2)</f>
        <v>2.63</v>
      </c>
      <c r="M95" s="211">
        <f>ROUND($P$66*($L$76*$AF$34)+$P$67*($M$76*$AF$34),2)</f>
        <v>2.34</v>
      </c>
      <c r="N95" s="211">
        <f>ROUND($R$66*($M$76*$AF$35)+$R$67*($L$76*$AF$35),2)</f>
        <v>1.84</v>
      </c>
      <c r="O95" s="211">
        <f>ROUND($R$66*($M$76*$AF$36)+$R$67*($L$76*$AF36),2)</f>
        <v>1.42</v>
      </c>
      <c r="P95" s="211">
        <f>ROUND($R$66*($M$76*$AF$37)+$R$67*($L$76*$AF$37),2)</f>
        <v>1.33</v>
      </c>
      <c r="AA95" s="157"/>
      <c r="AB95" s="157"/>
      <c r="AC95" s="157"/>
      <c r="AD95" s="171"/>
      <c r="AE95" s="157"/>
      <c r="AF95" s="166"/>
      <c r="AG95" s="166"/>
      <c r="AH95" s="166"/>
      <c r="AI95" s="166"/>
      <c r="AJ95" s="166"/>
      <c r="AK95" s="167"/>
      <c r="AL95" s="148"/>
      <c r="AM95" s="148"/>
    </row>
    <row r="96" spans="1:39">
      <c r="A96" s="83">
        <v>94</v>
      </c>
      <c r="B96" s="83" t="s">
        <v>730</v>
      </c>
      <c r="C96" s="124">
        <v>1</v>
      </c>
      <c r="D96" s="87" t="s">
        <v>94</v>
      </c>
      <c r="H96" s="210" t="s">
        <v>477</v>
      </c>
      <c r="I96" s="157" t="s">
        <v>456</v>
      </c>
      <c r="J96" s="83" t="s">
        <v>479</v>
      </c>
      <c r="K96" s="211">
        <f>ROUND(($N$76*$AF$32)/1.185,2)</f>
        <v>20.32</v>
      </c>
      <c r="L96" s="211">
        <v>0</v>
      </c>
      <c r="M96" s="93">
        <v>0</v>
      </c>
      <c r="N96" s="211">
        <f>ROUND(($P$76*$AF$35)/1.185,2)</f>
        <v>3.03</v>
      </c>
      <c r="O96" s="93">
        <v>0</v>
      </c>
      <c r="P96" s="93">
        <v>0</v>
      </c>
      <c r="AA96" s="147"/>
      <c r="AB96" s="157"/>
      <c r="AC96" s="157"/>
      <c r="AD96" s="171"/>
      <c r="AE96" s="171"/>
      <c r="AF96" s="166"/>
      <c r="AG96" s="166"/>
      <c r="AH96" s="166"/>
      <c r="AI96" s="166"/>
      <c r="AJ96" s="166"/>
      <c r="AK96" s="167"/>
      <c r="AL96" s="148"/>
      <c r="AM96" s="148"/>
    </row>
    <row r="97" spans="1:39">
      <c r="A97" s="83">
        <v>95</v>
      </c>
      <c r="B97" s="83" t="s">
        <v>1006</v>
      </c>
      <c r="C97" s="124">
        <v>1</v>
      </c>
      <c r="D97" s="87" t="s">
        <v>95</v>
      </c>
      <c r="H97" s="210" t="s">
        <v>478</v>
      </c>
      <c r="I97" s="157" t="s">
        <v>459</v>
      </c>
      <c r="J97" s="83" t="s">
        <v>1036</v>
      </c>
      <c r="K97" s="218">
        <v>0</v>
      </c>
      <c r="L97" s="218">
        <f>ROUND(($O$76*$AF$33)/1.185,2)</f>
        <v>6.75</v>
      </c>
      <c r="M97" s="218">
        <f>ROUND(($O$76*$AF$34)/1.185,2)</f>
        <v>6.01</v>
      </c>
      <c r="N97" s="218">
        <v>0</v>
      </c>
      <c r="O97" s="218">
        <f>ROUND(($Q$76*$AF$36)/1.185,2)</f>
        <v>0.57999999999999996</v>
      </c>
      <c r="P97" s="218">
        <f>ROUND(($Q$76*$AF$37)/1.185,2)</f>
        <v>0.55000000000000004</v>
      </c>
      <c r="AA97" s="157"/>
      <c r="AB97" s="157"/>
      <c r="AC97" s="157"/>
      <c r="AD97" s="171"/>
      <c r="AE97" s="171"/>
      <c r="AF97" s="151"/>
      <c r="AG97" s="150"/>
      <c r="AH97" s="151"/>
      <c r="AI97" s="151"/>
      <c r="AJ97" s="151"/>
      <c r="AK97" s="167"/>
      <c r="AL97" s="148"/>
      <c r="AM97" s="148"/>
    </row>
    <row r="98" spans="1:39">
      <c r="A98" s="83">
        <v>96</v>
      </c>
      <c r="B98" s="83" t="s">
        <v>998</v>
      </c>
      <c r="C98" s="124">
        <v>1</v>
      </c>
      <c r="D98" s="87" t="s">
        <v>1101</v>
      </c>
      <c r="H98" s="210" t="s">
        <v>1021</v>
      </c>
      <c r="I98" s="157" t="s">
        <v>476</v>
      </c>
      <c r="J98" s="83" t="s">
        <v>1035</v>
      </c>
      <c r="K98" s="211">
        <f>ROUND($R$76*$AF$32,2)</f>
        <v>1.72</v>
      </c>
      <c r="L98" s="211">
        <f>ROUND($R$76*$AF$33,2)</f>
        <v>1.41</v>
      </c>
      <c r="M98" s="211">
        <f>ROUND($R$76*$AF$34,2)</f>
        <v>1.26</v>
      </c>
      <c r="N98" s="211">
        <f>ROUND($R$76*$AF$35,2)</f>
        <v>1.35</v>
      </c>
      <c r="O98" s="211">
        <f>ROUND($R$76*$AF$36,2)</f>
        <v>1.04</v>
      </c>
      <c r="P98" s="211">
        <f>ROUND($R$76*$AF$37,2)</f>
        <v>0.98</v>
      </c>
      <c r="AA98" s="224"/>
      <c r="AB98" s="157"/>
      <c r="AC98" s="157"/>
      <c r="AD98" s="205"/>
      <c r="AE98" s="205"/>
      <c r="AF98" s="167"/>
      <c r="AG98" s="167"/>
      <c r="AH98" s="167"/>
      <c r="AI98" s="167"/>
      <c r="AJ98" s="167"/>
      <c r="AK98" s="167"/>
      <c r="AL98" s="148"/>
      <c r="AM98" s="148"/>
    </row>
    <row r="99" spans="1:39">
      <c r="A99" s="83">
        <v>97</v>
      </c>
      <c r="B99" s="83" t="s">
        <v>927</v>
      </c>
      <c r="C99" s="124">
        <v>1</v>
      </c>
      <c r="D99" s="87" t="s">
        <v>96</v>
      </c>
      <c r="AA99" s="157"/>
      <c r="AB99" s="157"/>
      <c r="AC99" s="157"/>
      <c r="AD99" s="205"/>
      <c r="AE99" s="205"/>
      <c r="AF99" s="167"/>
      <c r="AG99" s="167"/>
      <c r="AH99" s="167"/>
      <c r="AI99" s="167"/>
      <c r="AJ99" s="167"/>
      <c r="AK99" s="167"/>
      <c r="AL99" s="148"/>
      <c r="AM99" s="148"/>
    </row>
    <row r="100" spans="1:39">
      <c r="A100" s="83">
        <v>98</v>
      </c>
      <c r="B100" s="83" t="s">
        <v>499</v>
      </c>
      <c r="C100" s="124">
        <v>1</v>
      </c>
      <c r="D100" s="87" t="s">
        <v>500</v>
      </c>
      <c r="K100" s="87" t="s">
        <v>510</v>
      </c>
      <c r="N100" s="134" t="s">
        <v>511</v>
      </c>
      <c r="AA100" s="157"/>
      <c r="AB100" s="157"/>
      <c r="AC100" s="157"/>
      <c r="AD100" s="171"/>
      <c r="AE100" s="195"/>
      <c r="AF100" s="211"/>
      <c r="AG100" s="218"/>
      <c r="AH100" s="218"/>
      <c r="AI100" s="218"/>
      <c r="AJ100" s="218"/>
      <c r="AK100" s="218"/>
      <c r="AL100" s="148"/>
      <c r="AM100" s="148"/>
    </row>
    <row r="101" spans="1:39">
      <c r="A101" s="83">
        <v>99</v>
      </c>
      <c r="B101" s="83" t="s">
        <v>928</v>
      </c>
      <c r="C101" s="124">
        <v>1</v>
      </c>
      <c r="D101" s="87" t="s">
        <v>7</v>
      </c>
      <c r="E101" s="377" t="s">
        <v>528</v>
      </c>
      <c r="F101" s="377"/>
      <c r="G101" s="377"/>
      <c r="H101" s="210" t="s">
        <v>1020</v>
      </c>
      <c r="I101" s="157" t="s">
        <v>458</v>
      </c>
      <c r="J101" s="83" t="s">
        <v>1035</v>
      </c>
      <c r="K101" s="211">
        <f>ROUND($P$66*($L$77*$AF$32)+$P$67*($M$77*$AF$32),2)</f>
        <v>4.8899999999999997</v>
      </c>
      <c r="L101" s="211">
        <f>ROUND($P$66*($L$77*$AF$33)+$P$67*($M$77*$AF$33),2)</f>
        <v>4.01</v>
      </c>
      <c r="M101" s="211">
        <f>ROUND($P$66*($L$77*$AF$34)+$P$67*($M$77*$AF$34),2)</f>
        <v>3.57</v>
      </c>
      <c r="N101" s="211">
        <f>ROUND($R$66*($M$77*$AF$35)+$R$67*($L$77*$AF$35),2)</f>
        <v>3.03</v>
      </c>
      <c r="O101" s="211">
        <f>ROUND($R$66*($M$77*$AF$36)+$R$67*($L$77*$AF$36),2)</f>
        <v>2.33</v>
      </c>
      <c r="P101" s="211">
        <f>ROUND($R$66*($M$77*$AF$37)+$R$67*($L$77*$AF$37),2)</f>
        <v>2.19</v>
      </c>
      <c r="AA101" s="157"/>
      <c r="AB101" s="157"/>
      <c r="AC101" s="157"/>
      <c r="AD101" s="171"/>
      <c r="AE101" s="195"/>
      <c r="AF101" s="211"/>
      <c r="AG101" s="211"/>
      <c r="AH101" s="211"/>
      <c r="AI101" s="211"/>
      <c r="AJ101" s="211"/>
      <c r="AK101" s="211"/>
      <c r="AL101" s="148"/>
      <c r="AM101" s="148"/>
    </row>
    <row r="102" spans="1:39">
      <c r="A102" s="83">
        <v>100</v>
      </c>
      <c r="B102" s="83" t="s">
        <v>731</v>
      </c>
      <c r="C102" s="124">
        <v>1</v>
      </c>
      <c r="D102" s="87" t="s">
        <v>97</v>
      </c>
      <c r="H102" s="210" t="s">
        <v>477</v>
      </c>
      <c r="I102" s="157" t="s">
        <v>456</v>
      </c>
      <c r="J102" s="83" t="s">
        <v>479</v>
      </c>
      <c r="K102" s="211">
        <f>ROUND(($N$77*$AF$32)/1.185,2)</f>
        <v>31.21</v>
      </c>
      <c r="L102" s="211">
        <v>0</v>
      </c>
      <c r="M102" s="93">
        <v>0</v>
      </c>
      <c r="N102" s="211">
        <f>ROUND(($P$77*$AF$35)/1.185,2)</f>
        <v>8.7200000000000006</v>
      </c>
      <c r="O102" s="93">
        <v>0</v>
      </c>
      <c r="P102" s="93">
        <v>0</v>
      </c>
      <c r="AA102" s="157"/>
      <c r="AB102" s="157"/>
      <c r="AC102" s="157"/>
      <c r="AD102" s="171"/>
      <c r="AE102" s="195"/>
      <c r="AF102" s="211"/>
      <c r="AG102" s="218"/>
      <c r="AH102" s="218"/>
      <c r="AI102" s="218"/>
      <c r="AJ102" s="218"/>
      <c r="AK102" s="218"/>
      <c r="AL102" s="148"/>
      <c r="AM102" s="148"/>
    </row>
    <row r="103" spans="1:39">
      <c r="A103" s="83">
        <v>101</v>
      </c>
      <c r="B103" s="83" t="s">
        <v>684</v>
      </c>
      <c r="C103" s="124">
        <v>1</v>
      </c>
      <c r="D103" s="87" t="s">
        <v>1089</v>
      </c>
      <c r="H103" s="210" t="s">
        <v>478</v>
      </c>
      <c r="I103" s="157" t="s">
        <v>459</v>
      </c>
      <c r="J103" s="83" t="s">
        <v>1036</v>
      </c>
      <c r="K103" s="218">
        <v>0</v>
      </c>
      <c r="L103" s="218">
        <f>ROUND(($O$77*$AF$33)/1.185,2)</f>
        <v>13.44</v>
      </c>
      <c r="M103" s="218">
        <f>ROUND(($O$77*$AF$34)/1.185,2)</f>
        <v>11.97</v>
      </c>
      <c r="N103" s="218">
        <v>0</v>
      </c>
      <c r="O103" s="218">
        <f>ROUND(($Q$77*$AF$36)/1.185,2)</f>
        <v>7.15</v>
      </c>
      <c r="P103" s="218">
        <f>ROUND(($Q$77*$AF$37)/1.185,2)</f>
        <v>6.73</v>
      </c>
      <c r="AA103" s="157"/>
      <c r="AB103" s="157"/>
      <c r="AC103" s="157"/>
      <c r="AD103" s="216"/>
      <c r="AE103" s="195"/>
      <c r="AF103" s="218"/>
      <c r="AG103" s="218"/>
      <c r="AH103" s="218"/>
      <c r="AI103" s="218"/>
      <c r="AJ103" s="218"/>
      <c r="AK103" s="218"/>
      <c r="AL103" s="148"/>
      <c r="AM103" s="148"/>
    </row>
    <row r="104" spans="1:39">
      <c r="A104" s="83">
        <v>102</v>
      </c>
      <c r="B104" s="83" t="s">
        <v>805</v>
      </c>
      <c r="C104" s="124">
        <v>4</v>
      </c>
      <c r="D104" s="87" t="s">
        <v>110</v>
      </c>
      <c r="H104" s="210" t="s">
        <v>1021</v>
      </c>
      <c r="I104" s="157" t="s">
        <v>476</v>
      </c>
      <c r="J104" s="83" t="s">
        <v>1035</v>
      </c>
      <c r="K104" s="211">
        <f>ROUND($R$77*$AF$32,2)</f>
        <v>1.72</v>
      </c>
      <c r="L104" s="211">
        <f>ROUND($R$77*$AF$33,2)</f>
        <v>1.41</v>
      </c>
      <c r="M104" s="211">
        <f>ROUND($R$77*$AF$34,2)</f>
        <v>1.26</v>
      </c>
      <c r="N104" s="211">
        <f>ROUND($R$77*$AF$35,2)</f>
        <v>1.35</v>
      </c>
      <c r="O104" s="211">
        <f>ROUND($R$77*$AF$36,2)</f>
        <v>1.04</v>
      </c>
      <c r="P104" s="211">
        <f>ROUND($R$77*$AF$37,2)</f>
        <v>0.98</v>
      </c>
      <c r="AA104" s="157"/>
      <c r="AB104" s="157"/>
      <c r="AC104" s="157"/>
      <c r="AD104" s="171"/>
      <c r="AE104" s="195"/>
      <c r="AF104" s="211"/>
      <c r="AG104" s="218"/>
      <c r="AH104" s="218"/>
      <c r="AI104" s="218"/>
      <c r="AJ104" s="218"/>
      <c r="AK104" s="218"/>
      <c r="AL104" s="148"/>
      <c r="AM104" s="148"/>
    </row>
    <row r="105" spans="1:39">
      <c r="A105" s="83">
        <v>103</v>
      </c>
      <c r="B105" s="83" t="s">
        <v>699</v>
      </c>
      <c r="C105" s="124">
        <v>1</v>
      </c>
      <c r="D105" s="87" t="s">
        <v>1171</v>
      </c>
      <c r="I105" s="140"/>
      <c r="K105" s="207"/>
      <c r="L105" s="207"/>
      <c r="M105" s="207"/>
      <c r="N105" s="207"/>
      <c r="O105" s="207"/>
      <c r="P105" s="207"/>
      <c r="AA105" s="157"/>
      <c r="AB105" s="157"/>
      <c r="AC105" s="157"/>
      <c r="AD105" s="171"/>
      <c r="AE105" s="195"/>
      <c r="AF105" s="211"/>
      <c r="AG105" s="218"/>
      <c r="AH105" s="218"/>
      <c r="AI105" s="218"/>
      <c r="AJ105" s="218"/>
      <c r="AK105" s="218"/>
      <c r="AL105" s="148"/>
      <c r="AM105" s="148"/>
    </row>
    <row r="106" spans="1:39">
      <c r="A106" s="83">
        <v>104</v>
      </c>
      <c r="B106" s="83" t="s">
        <v>732</v>
      </c>
      <c r="C106" s="124">
        <v>1</v>
      </c>
      <c r="D106" s="87" t="s">
        <v>113</v>
      </c>
      <c r="H106" s="210"/>
      <c r="I106" s="157"/>
      <c r="K106" s="87" t="s">
        <v>510</v>
      </c>
      <c r="L106" s="211"/>
      <c r="M106" s="211"/>
      <c r="N106" s="134" t="s">
        <v>511</v>
      </c>
      <c r="O106" s="211"/>
      <c r="P106" s="211"/>
      <c r="AA106" s="157"/>
      <c r="AB106" s="157"/>
      <c r="AC106" s="157"/>
      <c r="AD106" s="171"/>
      <c r="AE106" s="195"/>
      <c r="AF106" s="211"/>
      <c r="AG106" s="218"/>
      <c r="AH106" s="218"/>
      <c r="AI106" s="218"/>
      <c r="AJ106" s="218"/>
      <c r="AK106" s="218"/>
      <c r="AL106" s="148"/>
      <c r="AM106" s="148"/>
    </row>
    <row r="107" spans="1:39">
      <c r="A107" s="83">
        <v>105</v>
      </c>
      <c r="B107" s="83" t="s">
        <v>733</v>
      </c>
      <c r="C107" s="124">
        <v>1</v>
      </c>
      <c r="D107" s="87" t="s">
        <v>114</v>
      </c>
      <c r="E107" s="377" t="s">
        <v>529</v>
      </c>
      <c r="F107" s="377"/>
      <c r="G107" s="377"/>
      <c r="H107" s="210" t="s">
        <v>1020</v>
      </c>
      <c r="I107" s="157" t="s">
        <v>458</v>
      </c>
      <c r="J107" s="83" t="s">
        <v>1035</v>
      </c>
      <c r="K107" s="211">
        <f>ROUND($P$66*($L$78*$AF$32)+$P$67*($M$78*$AF$32),2)</f>
        <v>5.45</v>
      </c>
      <c r="L107" s="211">
        <f>ROUND($P$66*($L$78*$AF$33)+$P$67*($M$78*$AF$33),2)</f>
        <v>4.47</v>
      </c>
      <c r="M107" s="211">
        <f>ROUND($P$66*($L$78*$AF$34)+$P$67*($M$78*$AF$34),2)</f>
        <v>3.98</v>
      </c>
      <c r="N107" s="211">
        <f>ROUND($R$66*($M$78*$AF$35)+$R$67*($L$78*$AF$35),2)</f>
        <v>3.43</v>
      </c>
      <c r="O107" s="211">
        <f>ROUND($R$66*($M$78*$AF$36)+$R$67*($L$78*$AF$36),2)</f>
        <v>2.64</v>
      </c>
      <c r="P107" s="211">
        <f>ROUND($R$66*($M$78*$AF$37)+$R$67*($L$78*$AF$37),2)</f>
        <v>2.48</v>
      </c>
      <c r="AA107" s="149"/>
      <c r="AB107" s="150"/>
      <c r="AC107" s="150"/>
      <c r="AD107" s="151"/>
      <c r="AE107" s="151"/>
      <c r="AF107" s="166"/>
      <c r="AG107" s="150"/>
      <c r="AH107" s="151"/>
      <c r="AI107" s="167"/>
      <c r="AJ107" s="150"/>
      <c r="AK107" s="150"/>
      <c r="AL107" s="148"/>
      <c r="AM107" s="148"/>
    </row>
    <row r="108" spans="1:39">
      <c r="A108" s="83">
        <v>106</v>
      </c>
      <c r="B108" s="83" t="s">
        <v>929</v>
      </c>
      <c r="C108" s="124">
        <v>1</v>
      </c>
      <c r="D108" s="87" t="s">
        <v>115</v>
      </c>
      <c r="H108" s="210" t="s">
        <v>477</v>
      </c>
      <c r="I108" s="157" t="s">
        <v>456</v>
      </c>
      <c r="J108" s="83" t="s">
        <v>479</v>
      </c>
      <c r="K108" s="211">
        <f>ROUND(($N$78*$AF$32)/1.185,2)</f>
        <v>38.229999999999997</v>
      </c>
      <c r="L108" s="211">
        <v>0</v>
      </c>
      <c r="M108" s="93">
        <v>0</v>
      </c>
      <c r="N108" s="211">
        <f>ROUND(($P$78*$AF$35)/1.185,2)</f>
        <v>10.61</v>
      </c>
      <c r="O108" s="93">
        <v>0</v>
      </c>
      <c r="P108" s="93">
        <v>0</v>
      </c>
      <c r="AA108" s="150"/>
      <c r="AB108" s="150"/>
      <c r="AC108" s="150"/>
      <c r="AD108" s="151"/>
      <c r="AE108" s="150"/>
      <c r="AF108" s="151"/>
      <c r="AG108" s="150"/>
      <c r="AH108" s="217"/>
      <c r="AI108" s="167"/>
      <c r="AJ108" s="150"/>
      <c r="AK108" s="150"/>
      <c r="AL108" s="148"/>
      <c r="AM108" s="148"/>
    </row>
    <row r="109" spans="1:39">
      <c r="A109" s="83">
        <v>107</v>
      </c>
      <c r="B109" s="83" t="s">
        <v>664</v>
      </c>
      <c r="C109" s="124">
        <v>1</v>
      </c>
      <c r="D109" s="87" t="s">
        <v>116</v>
      </c>
      <c r="H109" s="210" t="s">
        <v>478</v>
      </c>
      <c r="I109" s="157" t="s">
        <v>459</v>
      </c>
      <c r="J109" s="83" t="s">
        <v>1036</v>
      </c>
      <c r="K109" s="218">
        <v>0</v>
      </c>
      <c r="L109" s="218">
        <f>ROUND(($O$78*$AF$33)/1.185,2)</f>
        <v>15.67</v>
      </c>
      <c r="M109" s="218">
        <f>ROUND(($O$78*$AF$34)/1.185,2)</f>
        <v>13.95</v>
      </c>
      <c r="N109" s="218">
        <v>0</v>
      </c>
      <c r="O109" s="218">
        <f>ROUND(($Q$78*$AF$36)/1.185,2)</f>
        <v>9.34</v>
      </c>
      <c r="P109" s="218">
        <f>ROUND(($Q$78*$AF$37)/1.185,2)</f>
        <v>8.7899999999999991</v>
      </c>
      <c r="AA109" s="150"/>
      <c r="AB109" s="150"/>
      <c r="AC109" s="150"/>
      <c r="AD109" s="151"/>
      <c r="AE109" s="150"/>
      <c r="AF109" s="151"/>
      <c r="AG109" s="150"/>
      <c r="AH109" s="151"/>
      <c r="AI109" s="167"/>
      <c r="AJ109" s="150"/>
      <c r="AK109" s="150"/>
      <c r="AL109" s="148"/>
      <c r="AM109" s="148"/>
    </row>
    <row r="110" spans="1:39">
      <c r="A110" s="83">
        <v>108</v>
      </c>
      <c r="B110" s="83" t="s">
        <v>665</v>
      </c>
      <c r="C110" s="124">
        <v>1</v>
      </c>
      <c r="D110" s="87" t="s">
        <v>1128</v>
      </c>
      <c r="H110" s="210" t="s">
        <v>1021</v>
      </c>
      <c r="I110" s="157" t="s">
        <v>476</v>
      </c>
      <c r="J110" s="83" t="s">
        <v>1035</v>
      </c>
      <c r="K110" s="211">
        <f>ROUND($R$78*$AF$32,2)</f>
        <v>1.72</v>
      </c>
      <c r="L110" s="211">
        <f>ROUND($R$78*$AF$33,2)</f>
        <v>1.41</v>
      </c>
      <c r="M110" s="211">
        <f>ROUND($R$78*$AF$34,2)</f>
        <v>1.26</v>
      </c>
      <c r="N110" s="211">
        <f>ROUND($R$78*$AF$35,2)</f>
        <v>1.35</v>
      </c>
      <c r="O110" s="211">
        <f>ROUND($R$78*$AF$36,2)</f>
        <v>1.04</v>
      </c>
      <c r="P110" s="211">
        <f>ROUND($R$78*$AF$37,2)</f>
        <v>0.98</v>
      </c>
      <c r="AA110" s="150"/>
      <c r="AB110" s="150"/>
      <c r="AC110" s="150"/>
      <c r="AD110" s="167"/>
      <c r="AE110" s="195"/>
      <c r="AF110" s="158"/>
      <c r="AG110" s="151"/>
      <c r="AH110" s="225"/>
      <c r="AI110" s="167"/>
      <c r="AJ110" s="226"/>
      <c r="AK110" s="206"/>
      <c r="AL110" s="148"/>
      <c r="AM110" s="148"/>
    </row>
    <row r="111" spans="1:39">
      <c r="A111" s="83">
        <v>109</v>
      </c>
      <c r="B111" s="83" t="s">
        <v>930</v>
      </c>
      <c r="C111" s="124">
        <v>1</v>
      </c>
      <c r="D111" s="87" t="s">
        <v>117</v>
      </c>
      <c r="AA111" s="150"/>
      <c r="AB111" s="150"/>
      <c r="AC111" s="150"/>
      <c r="AD111" s="167"/>
      <c r="AE111" s="195"/>
      <c r="AF111" s="158"/>
      <c r="AG111" s="151"/>
      <c r="AH111" s="225"/>
      <c r="AI111" s="167"/>
      <c r="AJ111" s="226"/>
      <c r="AK111" s="150"/>
      <c r="AL111" s="148"/>
      <c r="AM111" s="148"/>
    </row>
    <row r="112" spans="1:39">
      <c r="A112" s="83">
        <v>110</v>
      </c>
      <c r="B112" s="83" t="s">
        <v>734</v>
      </c>
      <c r="C112" s="124">
        <v>3</v>
      </c>
      <c r="D112" s="87" t="s">
        <v>118</v>
      </c>
      <c r="AA112" s="150"/>
      <c r="AB112" s="150"/>
      <c r="AC112" s="150"/>
      <c r="AD112" s="167"/>
      <c r="AE112" s="195"/>
      <c r="AF112" s="158"/>
      <c r="AG112" s="151"/>
      <c r="AH112" s="225"/>
      <c r="AI112" s="151"/>
      <c r="AJ112" s="226"/>
      <c r="AK112" s="151"/>
      <c r="AL112" s="148"/>
      <c r="AM112" s="148"/>
    </row>
    <row r="113" spans="1:39">
      <c r="A113" s="83">
        <v>111</v>
      </c>
      <c r="B113" s="126" t="s">
        <v>59</v>
      </c>
      <c r="C113" s="124">
        <v>1</v>
      </c>
      <c r="D113" s="87" t="s">
        <v>119</v>
      </c>
      <c r="I113" s="140"/>
      <c r="K113" s="207"/>
      <c r="L113" s="207"/>
      <c r="M113" s="207"/>
      <c r="N113" s="207"/>
      <c r="O113" s="207"/>
      <c r="P113" s="207"/>
      <c r="AA113" s="150"/>
      <c r="AB113" s="150"/>
      <c r="AC113" s="150"/>
      <c r="AD113" s="167"/>
      <c r="AE113" s="195"/>
      <c r="AF113" s="158"/>
      <c r="AG113" s="151"/>
      <c r="AH113" s="225"/>
      <c r="AI113" s="151"/>
      <c r="AJ113" s="226"/>
      <c r="AK113" s="150"/>
      <c r="AL113" s="148"/>
      <c r="AM113" s="148"/>
    </row>
    <row r="114" spans="1:39">
      <c r="A114" s="83">
        <v>112</v>
      </c>
      <c r="B114" s="83" t="s">
        <v>931</v>
      </c>
      <c r="C114" s="124">
        <v>1</v>
      </c>
      <c r="D114" s="87" t="s">
        <v>120</v>
      </c>
      <c r="H114" s="210"/>
      <c r="I114" s="157"/>
      <c r="K114" s="211"/>
      <c r="L114" s="211"/>
      <c r="M114" s="211"/>
      <c r="N114" s="211"/>
      <c r="O114" s="211"/>
      <c r="P114" s="211"/>
      <c r="AA114" s="150"/>
      <c r="AB114" s="150"/>
      <c r="AC114" s="150"/>
      <c r="AD114" s="167"/>
      <c r="AE114" s="195"/>
      <c r="AF114" s="158"/>
      <c r="AG114" s="151"/>
      <c r="AH114" s="225"/>
      <c r="AI114" s="151"/>
      <c r="AJ114" s="226"/>
      <c r="AK114" s="150"/>
      <c r="AL114" s="148"/>
      <c r="AM114" s="148"/>
    </row>
    <row r="115" spans="1:39">
      <c r="A115" s="83">
        <v>113</v>
      </c>
      <c r="B115" s="83" t="s">
        <v>972</v>
      </c>
      <c r="C115" s="124">
        <v>1</v>
      </c>
      <c r="D115" s="87" t="s">
        <v>121</v>
      </c>
      <c r="E115" s="377" t="s">
        <v>463</v>
      </c>
      <c r="F115" s="377"/>
      <c r="G115" s="377"/>
      <c r="H115" s="150" t="s">
        <v>612</v>
      </c>
      <c r="I115" s="150" t="s">
        <v>601</v>
      </c>
      <c r="J115" s="167" t="s">
        <v>589</v>
      </c>
      <c r="K115" s="195"/>
      <c r="L115" s="158">
        <f>$K$86</f>
        <v>1.72</v>
      </c>
      <c r="M115" s="151" t="s">
        <v>602</v>
      </c>
      <c r="N115" s="225" t="s">
        <v>604</v>
      </c>
      <c r="O115" s="167"/>
      <c r="P115" s="226">
        <f>$K$84</f>
        <v>7.74</v>
      </c>
      <c r="AA115" s="150"/>
      <c r="AB115" s="150"/>
      <c r="AC115" s="150"/>
      <c r="AD115" s="167"/>
      <c r="AE115" s="195"/>
      <c r="AF115" s="158"/>
      <c r="AG115" s="151"/>
      <c r="AH115" s="225"/>
      <c r="AI115" s="151"/>
      <c r="AJ115" s="226"/>
      <c r="AK115" s="150"/>
      <c r="AL115" s="148"/>
      <c r="AM115" s="148"/>
    </row>
    <row r="116" spans="1:39">
      <c r="A116" s="83">
        <v>114</v>
      </c>
      <c r="B116" s="83" t="s">
        <v>858</v>
      </c>
      <c r="C116" s="124">
        <v>5</v>
      </c>
      <c r="D116" s="87" t="s">
        <v>122</v>
      </c>
      <c r="H116" s="150" t="s">
        <v>613</v>
      </c>
      <c r="I116" s="150" t="s">
        <v>603</v>
      </c>
      <c r="J116" s="167" t="s">
        <v>589</v>
      </c>
      <c r="K116" s="195"/>
      <c r="L116" s="158">
        <f>$N$86</f>
        <v>1.35</v>
      </c>
      <c r="M116" s="151" t="s">
        <v>602</v>
      </c>
      <c r="N116" s="225" t="s">
        <v>604</v>
      </c>
      <c r="O116" s="167"/>
      <c r="P116" s="226">
        <f>$O$96</f>
        <v>0</v>
      </c>
      <c r="AA116" s="150"/>
      <c r="AB116" s="150"/>
      <c r="AC116" s="150"/>
      <c r="AD116" s="167"/>
      <c r="AE116" s="195"/>
      <c r="AF116" s="158"/>
      <c r="AG116" s="151"/>
      <c r="AH116" s="225"/>
      <c r="AI116" s="151"/>
      <c r="AJ116" s="226"/>
      <c r="AK116" s="150"/>
      <c r="AL116" s="148"/>
      <c r="AM116" s="148"/>
    </row>
    <row r="117" spans="1:39">
      <c r="A117" s="83">
        <v>115</v>
      </c>
      <c r="B117" s="83" t="s">
        <v>932</v>
      </c>
      <c r="C117" s="124">
        <v>1</v>
      </c>
      <c r="D117" s="87" t="s">
        <v>123</v>
      </c>
      <c r="H117" s="150" t="s">
        <v>614</v>
      </c>
      <c r="I117" s="150" t="s">
        <v>601</v>
      </c>
      <c r="J117" s="167" t="s">
        <v>605</v>
      </c>
      <c r="K117" s="195"/>
      <c r="L117" s="158">
        <f>$L$86</f>
        <v>1.41</v>
      </c>
      <c r="M117" s="151" t="s">
        <v>602</v>
      </c>
      <c r="N117" s="225" t="s">
        <v>606</v>
      </c>
      <c r="O117" s="151"/>
      <c r="P117" s="226">
        <f>$L$85</f>
        <v>2.58</v>
      </c>
      <c r="AA117" s="150"/>
      <c r="AB117" s="150"/>
      <c r="AC117" s="150"/>
      <c r="AD117" s="167"/>
      <c r="AE117" s="195"/>
      <c r="AF117" s="151"/>
      <c r="AG117" s="151"/>
      <c r="AH117" s="225"/>
      <c r="AI117" s="151"/>
      <c r="AJ117" s="206"/>
      <c r="AK117" s="150"/>
      <c r="AL117" s="148"/>
      <c r="AM117" s="148"/>
    </row>
    <row r="118" spans="1:39">
      <c r="A118" s="83">
        <v>116</v>
      </c>
      <c r="B118" s="83" t="s">
        <v>495</v>
      </c>
      <c r="C118" s="124">
        <v>1</v>
      </c>
      <c r="D118" s="87" t="s">
        <v>496</v>
      </c>
      <c r="H118" s="150" t="s">
        <v>615</v>
      </c>
      <c r="I118" s="150" t="s">
        <v>603</v>
      </c>
      <c r="J118" s="167" t="s">
        <v>605</v>
      </c>
      <c r="K118" s="195"/>
      <c r="L118" s="158">
        <f>$O$86</f>
        <v>1.04</v>
      </c>
      <c r="M118" s="151" t="s">
        <v>602</v>
      </c>
      <c r="N118" s="225" t="s">
        <v>606</v>
      </c>
      <c r="O118" s="151"/>
      <c r="P118" s="226">
        <f>$O$85</f>
        <v>0</v>
      </c>
      <c r="AA118" s="149"/>
      <c r="AB118" s="150"/>
      <c r="AC118" s="150"/>
      <c r="AD118" s="151"/>
      <c r="AE118" s="195"/>
      <c r="AF118" s="151"/>
      <c r="AG118" s="151"/>
      <c r="AH118" s="151"/>
      <c r="AI118" s="151"/>
      <c r="AJ118" s="206"/>
      <c r="AK118" s="150"/>
      <c r="AL118" s="148"/>
      <c r="AM118" s="148"/>
    </row>
    <row r="119" spans="1:39">
      <c r="A119" s="83">
        <v>117</v>
      </c>
      <c r="B119" s="83" t="s">
        <v>901</v>
      </c>
      <c r="C119" s="124">
        <v>1</v>
      </c>
      <c r="D119" s="87" t="s">
        <v>124</v>
      </c>
      <c r="AA119" s="150"/>
      <c r="AB119" s="150"/>
      <c r="AC119" s="150"/>
      <c r="AD119" s="151"/>
      <c r="AE119" s="150"/>
      <c r="AF119" s="166"/>
      <c r="AG119" s="150"/>
      <c r="AH119" s="166"/>
      <c r="AI119" s="167"/>
      <c r="AJ119" s="195"/>
      <c r="AK119" s="150"/>
      <c r="AL119" s="148"/>
      <c r="AM119" s="148"/>
    </row>
    <row r="120" spans="1:39">
      <c r="A120" s="83">
        <v>118</v>
      </c>
      <c r="B120" s="83" t="s">
        <v>933</v>
      </c>
      <c r="C120" s="124">
        <v>1</v>
      </c>
      <c r="D120" s="87" t="s">
        <v>125</v>
      </c>
      <c r="AA120" s="150"/>
      <c r="AB120" s="150"/>
      <c r="AC120" s="150"/>
      <c r="AD120" s="151"/>
      <c r="AE120" s="150"/>
      <c r="AF120" s="166"/>
      <c r="AG120" s="150"/>
      <c r="AH120" s="166"/>
      <c r="AI120" s="167"/>
      <c r="AJ120" s="195"/>
      <c r="AK120" s="150"/>
      <c r="AL120" s="148"/>
      <c r="AM120" s="148"/>
    </row>
    <row r="121" spans="1:39">
      <c r="A121" s="83">
        <v>119</v>
      </c>
      <c r="B121" s="83" t="s">
        <v>859</v>
      </c>
      <c r="C121" s="124">
        <v>5</v>
      </c>
      <c r="D121" s="87" t="s">
        <v>126</v>
      </c>
      <c r="E121" s="377" t="s">
        <v>464</v>
      </c>
      <c r="F121" s="377"/>
      <c r="G121" s="377"/>
      <c r="H121" s="150" t="s">
        <v>612</v>
      </c>
      <c r="I121" s="150" t="s">
        <v>601</v>
      </c>
      <c r="J121" s="167" t="s">
        <v>589</v>
      </c>
      <c r="K121" s="195"/>
      <c r="L121" s="158">
        <f>$K$92</f>
        <v>1.72</v>
      </c>
      <c r="M121" s="151" t="s">
        <v>602</v>
      </c>
      <c r="N121" s="225" t="s">
        <v>604</v>
      </c>
      <c r="O121" s="167"/>
      <c r="P121" s="226">
        <f>$K$90</f>
        <v>10.89</v>
      </c>
      <c r="AA121" s="150"/>
      <c r="AB121" s="150"/>
      <c r="AC121" s="150"/>
      <c r="AD121" s="167"/>
      <c r="AE121" s="195"/>
      <c r="AF121" s="158"/>
      <c r="AG121" s="151"/>
      <c r="AH121" s="225"/>
      <c r="AI121" s="167"/>
      <c r="AJ121" s="226"/>
      <c r="AK121" s="150"/>
      <c r="AL121" s="148"/>
      <c r="AM121" s="148"/>
    </row>
    <row r="122" spans="1:39">
      <c r="A122" s="83">
        <v>120</v>
      </c>
      <c r="B122" s="83" t="s">
        <v>860</v>
      </c>
      <c r="C122" s="124">
        <v>5</v>
      </c>
      <c r="D122" s="87" t="s">
        <v>127</v>
      </c>
      <c r="H122" s="150" t="s">
        <v>613</v>
      </c>
      <c r="I122" s="150" t="s">
        <v>603</v>
      </c>
      <c r="J122" s="167" t="s">
        <v>589</v>
      </c>
      <c r="K122" s="195"/>
      <c r="L122" s="158">
        <f>$N$92</f>
        <v>1.35</v>
      </c>
      <c r="M122" s="151" t="s">
        <v>602</v>
      </c>
      <c r="N122" s="225" t="s">
        <v>604</v>
      </c>
      <c r="O122" s="167"/>
      <c r="P122" s="226">
        <f>$N$90</f>
        <v>0.76</v>
      </c>
      <c r="AA122" s="150"/>
      <c r="AB122" s="150"/>
      <c r="AC122" s="150"/>
      <c r="AD122" s="167"/>
      <c r="AE122" s="195"/>
      <c r="AF122" s="158"/>
      <c r="AG122" s="151"/>
      <c r="AH122" s="225"/>
      <c r="AI122" s="167"/>
      <c r="AJ122" s="226"/>
      <c r="AK122" s="150"/>
      <c r="AL122" s="148"/>
      <c r="AM122" s="148"/>
    </row>
    <row r="123" spans="1:39">
      <c r="A123" s="83">
        <v>121</v>
      </c>
      <c r="B123" s="83" t="s">
        <v>934</v>
      </c>
      <c r="C123" s="124">
        <v>1</v>
      </c>
      <c r="D123" s="87" t="s">
        <v>128</v>
      </c>
      <c r="H123" s="150" t="s">
        <v>614</v>
      </c>
      <c r="I123" s="150" t="s">
        <v>601</v>
      </c>
      <c r="J123" s="167" t="s">
        <v>605</v>
      </c>
      <c r="K123" s="195"/>
      <c r="L123" s="158">
        <f>$L$92</f>
        <v>1.41</v>
      </c>
      <c r="M123" s="151" t="s">
        <v>602</v>
      </c>
      <c r="N123" s="225" t="s">
        <v>606</v>
      </c>
      <c r="O123" s="151"/>
      <c r="P123" s="226">
        <f>$L$91</f>
        <v>3.62</v>
      </c>
      <c r="AA123" s="150"/>
      <c r="AB123" s="150"/>
      <c r="AC123" s="150"/>
      <c r="AD123" s="167"/>
      <c r="AE123" s="195"/>
      <c r="AF123" s="158"/>
      <c r="AG123" s="151"/>
      <c r="AH123" s="225"/>
      <c r="AI123" s="151"/>
      <c r="AJ123" s="226"/>
      <c r="AK123" s="151"/>
      <c r="AL123" s="148"/>
      <c r="AM123" s="148"/>
    </row>
    <row r="124" spans="1:39">
      <c r="A124" s="83">
        <v>122</v>
      </c>
      <c r="B124" s="83" t="s">
        <v>735</v>
      </c>
      <c r="C124" s="124">
        <v>1</v>
      </c>
      <c r="D124" s="87" t="s">
        <v>130</v>
      </c>
      <c r="H124" s="150" t="s">
        <v>615</v>
      </c>
      <c r="I124" s="150" t="s">
        <v>603</v>
      </c>
      <c r="J124" s="167" t="s">
        <v>605</v>
      </c>
      <c r="K124" s="195"/>
      <c r="L124" s="158">
        <f>$O$92</f>
        <v>1.04</v>
      </c>
      <c r="M124" s="151" t="s">
        <v>602</v>
      </c>
      <c r="N124" s="225" t="s">
        <v>606</v>
      </c>
      <c r="O124" s="151"/>
      <c r="P124" s="226">
        <f>$O$91</f>
        <v>0.15</v>
      </c>
      <c r="AA124" s="150"/>
      <c r="AB124" s="150"/>
      <c r="AC124" s="150"/>
      <c r="AD124" s="167"/>
      <c r="AE124" s="195"/>
      <c r="AF124" s="158"/>
      <c r="AG124" s="151"/>
      <c r="AH124" s="225"/>
      <c r="AI124" s="151"/>
      <c r="AJ124" s="226"/>
      <c r="AK124" s="150"/>
      <c r="AL124" s="148"/>
      <c r="AM124" s="148"/>
    </row>
    <row r="125" spans="1:39">
      <c r="A125" s="83">
        <v>123</v>
      </c>
      <c r="B125" s="83" t="s">
        <v>640</v>
      </c>
      <c r="C125" s="124">
        <v>2</v>
      </c>
      <c r="D125" s="87" t="s">
        <v>1102</v>
      </c>
      <c r="AA125" s="150"/>
      <c r="AB125" s="150"/>
      <c r="AC125" s="150"/>
      <c r="AD125" s="167"/>
      <c r="AE125" s="195"/>
      <c r="AF125" s="158"/>
      <c r="AG125" s="151"/>
      <c r="AH125" s="225"/>
      <c r="AI125" s="151"/>
      <c r="AJ125" s="226"/>
      <c r="AK125" s="150"/>
      <c r="AL125" s="148"/>
      <c r="AM125" s="148"/>
    </row>
    <row r="126" spans="1:39">
      <c r="A126" s="83">
        <v>124</v>
      </c>
      <c r="B126" s="83" t="s">
        <v>645</v>
      </c>
      <c r="C126" s="124">
        <v>1</v>
      </c>
      <c r="D126" s="87" t="s">
        <v>1103</v>
      </c>
      <c r="AA126" s="150"/>
      <c r="AB126" s="150"/>
      <c r="AC126" s="150"/>
      <c r="AD126" s="167"/>
      <c r="AE126" s="195"/>
      <c r="AF126" s="151"/>
      <c r="AG126" s="151"/>
      <c r="AH126" s="225"/>
      <c r="AI126" s="151"/>
      <c r="AJ126" s="206"/>
      <c r="AK126" s="150"/>
      <c r="AL126" s="148"/>
      <c r="AM126" s="148"/>
    </row>
    <row r="127" spans="1:39">
      <c r="A127" s="83">
        <v>125</v>
      </c>
      <c r="B127" s="83" t="s">
        <v>1014</v>
      </c>
      <c r="C127" s="124">
        <v>1</v>
      </c>
      <c r="D127" s="87" t="s">
        <v>131</v>
      </c>
      <c r="E127" s="377" t="s">
        <v>465</v>
      </c>
      <c r="F127" s="377"/>
      <c r="G127" s="377"/>
      <c r="H127" s="150" t="s">
        <v>612</v>
      </c>
      <c r="I127" s="150" t="s">
        <v>601</v>
      </c>
      <c r="J127" s="167" t="s">
        <v>589</v>
      </c>
      <c r="K127" s="195"/>
      <c r="L127" s="158">
        <f>$K$98</f>
        <v>1.72</v>
      </c>
      <c r="M127" s="151" t="s">
        <v>602</v>
      </c>
      <c r="N127" s="225" t="s">
        <v>604</v>
      </c>
      <c r="O127" s="167"/>
      <c r="P127" s="226">
        <f>$K$96</f>
        <v>20.32</v>
      </c>
      <c r="AA127" s="149"/>
      <c r="AB127" s="150"/>
      <c r="AC127" s="150"/>
      <c r="AD127" s="151"/>
      <c r="AE127" s="150"/>
      <c r="AF127" s="166"/>
      <c r="AG127" s="150"/>
      <c r="AH127" s="166"/>
      <c r="AI127" s="167"/>
      <c r="AJ127" s="150"/>
      <c r="AK127" s="150"/>
      <c r="AL127" s="148"/>
      <c r="AM127" s="148"/>
    </row>
    <row r="128" spans="1:39">
      <c r="A128" s="83">
        <v>126</v>
      </c>
      <c r="B128" s="83" t="s">
        <v>700</v>
      </c>
      <c r="C128" s="124">
        <v>1</v>
      </c>
      <c r="D128" s="87" t="s">
        <v>1172</v>
      </c>
      <c r="H128" s="150" t="s">
        <v>613</v>
      </c>
      <c r="I128" s="150" t="s">
        <v>603</v>
      </c>
      <c r="J128" s="167" t="s">
        <v>589</v>
      </c>
      <c r="K128" s="195"/>
      <c r="L128" s="158">
        <f>$N$98</f>
        <v>1.35</v>
      </c>
      <c r="M128" s="151" t="s">
        <v>602</v>
      </c>
      <c r="N128" s="225" t="s">
        <v>604</v>
      </c>
      <c r="O128" s="167"/>
      <c r="P128" s="226">
        <f>$N$96</f>
        <v>3.03</v>
      </c>
      <c r="AA128" s="150"/>
      <c r="AB128" s="150"/>
      <c r="AC128" s="150"/>
      <c r="AD128" s="151"/>
      <c r="AE128" s="150"/>
      <c r="AF128" s="169"/>
      <c r="AG128" s="150"/>
      <c r="AH128" s="166"/>
      <c r="AI128" s="167"/>
      <c r="AJ128" s="150"/>
      <c r="AK128" s="150"/>
      <c r="AL128" s="148"/>
      <c r="AM128" s="148"/>
    </row>
    <row r="129" spans="1:39">
      <c r="A129" s="83">
        <v>127</v>
      </c>
      <c r="B129" s="83" t="s">
        <v>935</v>
      </c>
      <c r="C129" s="124">
        <v>1</v>
      </c>
      <c r="D129" s="87" t="s">
        <v>132</v>
      </c>
      <c r="H129" s="150" t="s">
        <v>614</v>
      </c>
      <c r="I129" s="150" t="s">
        <v>601</v>
      </c>
      <c r="J129" s="167" t="s">
        <v>605</v>
      </c>
      <c r="K129" s="195"/>
      <c r="L129" s="158">
        <f>$L$98</f>
        <v>1.41</v>
      </c>
      <c r="M129" s="151" t="s">
        <v>602</v>
      </c>
      <c r="N129" s="225" t="s">
        <v>606</v>
      </c>
      <c r="O129" s="151"/>
      <c r="P129" s="226">
        <f>$L$97</f>
        <v>6.75</v>
      </c>
      <c r="AA129" s="150"/>
      <c r="AB129" s="150"/>
      <c r="AC129" s="150"/>
      <c r="AD129" s="151"/>
      <c r="AE129" s="150"/>
      <c r="AF129" s="169"/>
      <c r="AG129" s="150"/>
      <c r="AH129" s="166"/>
      <c r="AI129" s="167"/>
      <c r="AJ129" s="150"/>
      <c r="AK129" s="150"/>
      <c r="AL129" s="148"/>
      <c r="AM129" s="148"/>
    </row>
    <row r="130" spans="1:39">
      <c r="A130" s="83">
        <v>128</v>
      </c>
      <c r="B130" s="83" t="s">
        <v>806</v>
      </c>
      <c r="C130" s="124">
        <v>1</v>
      </c>
      <c r="D130" s="87" t="s">
        <v>133</v>
      </c>
      <c r="H130" s="150" t="s">
        <v>615</v>
      </c>
      <c r="I130" s="150" t="s">
        <v>603</v>
      </c>
      <c r="J130" s="167" t="s">
        <v>605</v>
      </c>
      <c r="K130" s="195"/>
      <c r="L130" s="158">
        <f>$O$98</f>
        <v>1.04</v>
      </c>
      <c r="M130" s="151" t="s">
        <v>602</v>
      </c>
      <c r="N130" s="225" t="s">
        <v>606</v>
      </c>
      <c r="O130" s="151"/>
      <c r="P130" s="226">
        <f>$O$97</f>
        <v>0.57999999999999996</v>
      </c>
      <c r="AA130" s="150"/>
      <c r="AB130" s="150"/>
      <c r="AC130" s="150"/>
      <c r="AD130" s="167"/>
      <c r="AE130" s="195"/>
      <c r="AF130" s="158"/>
      <c r="AG130" s="151"/>
      <c r="AH130" s="151"/>
      <c r="AI130" s="151"/>
      <c r="AJ130" s="151"/>
      <c r="AK130" s="150"/>
      <c r="AL130" s="148"/>
      <c r="AM130" s="148"/>
    </row>
    <row r="131" spans="1:39">
      <c r="A131" s="83">
        <v>129</v>
      </c>
      <c r="B131" s="83" t="s">
        <v>807</v>
      </c>
      <c r="C131" s="124">
        <v>1</v>
      </c>
      <c r="D131" s="87" t="s">
        <v>134</v>
      </c>
      <c r="AA131" s="150"/>
      <c r="AB131" s="150"/>
      <c r="AC131" s="150"/>
      <c r="AD131" s="167"/>
      <c r="AE131" s="195"/>
      <c r="AF131" s="158"/>
      <c r="AG131" s="151"/>
      <c r="AH131" s="151"/>
      <c r="AI131" s="151"/>
      <c r="AJ131" s="151"/>
      <c r="AK131" s="150"/>
      <c r="AL131" s="148"/>
      <c r="AM131" s="148"/>
    </row>
    <row r="132" spans="1:39">
      <c r="A132" s="83">
        <v>130</v>
      </c>
      <c r="B132" s="83" t="s">
        <v>808</v>
      </c>
      <c r="C132" s="124">
        <v>2</v>
      </c>
      <c r="D132" s="87" t="s">
        <v>135</v>
      </c>
      <c r="AA132" s="150"/>
      <c r="AB132" s="150"/>
      <c r="AC132" s="150"/>
      <c r="AD132" s="167"/>
      <c r="AE132" s="195"/>
      <c r="AF132" s="158"/>
      <c r="AG132" s="151"/>
      <c r="AH132" s="151"/>
      <c r="AI132" s="151"/>
      <c r="AJ132" s="151"/>
      <c r="AK132" s="150"/>
      <c r="AL132" s="148"/>
      <c r="AM132" s="148"/>
    </row>
    <row r="133" spans="1:39">
      <c r="A133" s="83">
        <v>131</v>
      </c>
      <c r="B133" s="83" t="s">
        <v>936</v>
      </c>
      <c r="C133" s="124">
        <v>1</v>
      </c>
      <c r="D133" s="87" t="s">
        <v>136</v>
      </c>
      <c r="E133" s="377" t="s">
        <v>466</v>
      </c>
      <c r="F133" s="377"/>
      <c r="G133" s="377"/>
      <c r="H133" s="150" t="s">
        <v>612</v>
      </c>
      <c r="I133" s="150" t="s">
        <v>601</v>
      </c>
      <c r="J133" s="167" t="s">
        <v>589</v>
      </c>
      <c r="K133" s="195"/>
      <c r="L133" s="158">
        <f>$K$104</f>
        <v>1.72</v>
      </c>
      <c r="M133" s="151" t="s">
        <v>602</v>
      </c>
      <c r="N133" s="225" t="s">
        <v>604</v>
      </c>
      <c r="O133" s="167"/>
      <c r="P133" s="226">
        <f>$K$102</f>
        <v>31.21</v>
      </c>
      <c r="AA133" s="150"/>
      <c r="AB133" s="150"/>
      <c r="AC133" s="150"/>
      <c r="AD133" s="167"/>
      <c r="AE133" s="195"/>
      <c r="AF133" s="158"/>
      <c r="AG133" s="151"/>
      <c r="AH133" s="151"/>
      <c r="AI133" s="151"/>
      <c r="AJ133" s="151"/>
      <c r="AK133" s="150"/>
      <c r="AL133" s="148"/>
      <c r="AM133" s="148"/>
    </row>
    <row r="134" spans="1:39">
      <c r="A134" s="83">
        <v>132</v>
      </c>
      <c r="B134" s="83" t="s">
        <v>1002</v>
      </c>
      <c r="C134" s="124">
        <v>1</v>
      </c>
      <c r="D134" s="87" t="s">
        <v>1173</v>
      </c>
      <c r="H134" s="150" t="s">
        <v>613</v>
      </c>
      <c r="I134" s="150" t="s">
        <v>603</v>
      </c>
      <c r="J134" s="167" t="s">
        <v>589</v>
      </c>
      <c r="K134" s="195"/>
      <c r="L134" s="158">
        <f>$N$104</f>
        <v>1.35</v>
      </c>
      <c r="M134" s="151" t="s">
        <v>602</v>
      </c>
      <c r="N134" s="225" t="s">
        <v>604</v>
      </c>
      <c r="O134" s="167"/>
      <c r="P134" s="226">
        <f>$N$102</f>
        <v>8.7200000000000006</v>
      </c>
      <c r="AA134" s="150"/>
      <c r="AB134" s="150"/>
      <c r="AC134" s="150"/>
      <c r="AD134" s="167"/>
      <c r="AE134" s="195"/>
      <c r="AF134" s="158"/>
      <c r="AG134" s="151"/>
      <c r="AH134" s="151"/>
      <c r="AI134" s="151"/>
      <c r="AJ134" s="151"/>
      <c r="AK134" s="150"/>
      <c r="AL134" s="148"/>
      <c r="AM134" s="148"/>
    </row>
    <row r="135" spans="1:39">
      <c r="A135" s="83">
        <v>133</v>
      </c>
      <c r="B135" s="83" t="s">
        <v>736</v>
      </c>
      <c r="C135" s="124">
        <v>1</v>
      </c>
      <c r="D135" s="87" t="s">
        <v>137</v>
      </c>
      <c r="H135" s="150" t="s">
        <v>614</v>
      </c>
      <c r="I135" s="150" t="s">
        <v>601</v>
      </c>
      <c r="J135" s="167" t="s">
        <v>605</v>
      </c>
      <c r="K135" s="195"/>
      <c r="L135" s="158">
        <f>$L$104</f>
        <v>1.41</v>
      </c>
      <c r="M135" s="151" t="s">
        <v>602</v>
      </c>
      <c r="N135" s="225" t="s">
        <v>606</v>
      </c>
      <c r="O135" s="151"/>
      <c r="P135" s="226">
        <f>$L$103</f>
        <v>13.44</v>
      </c>
      <c r="AA135" s="150"/>
      <c r="AB135" s="150"/>
      <c r="AC135" s="150"/>
      <c r="AD135" s="151"/>
      <c r="AE135" s="195"/>
      <c r="AF135" s="151"/>
      <c r="AG135" s="151"/>
      <c r="AH135" s="151"/>
      <c r="AI135" s="151"/>
      <c r="AJ135" s="151"/>
      <c r="AK135" s="150"/>
      <c r="AL135" s="148"/>
      <c r="AM135" s="148"/>
    </row>
    <row r="136" spans="1:39">
      <c r="A136" s="83">
        <v>134</v>
      </c>
      <c r="B136" s="83" t="s">
        <v>861</v>
      </c>
      <c r="C136" s="124">
        <v>5</v>
      </c>
      <c r="D136" s="87" t="s">
        <v>138</v>
      </c>
      <c r="H136" s="150" t="s">
        <v>615</v>
      </c>
      <c r="I136" s="150" t="s">
        <v>603</v>
      </c>
      <c r="J136" s="167" t="s">
        <v>605</v>
      </c>
      <c r="K136" s="195"/>
      <c r="L136" s="158">
        <f>$O$104</f>
        <v>1.04</v>
      </c>
      <c r="M136" s="151" t="s">
        <v>602</v>
      </c>
      <c r="N136" s="225" t="s">
        <v>606</v>
      </c>
      <c r="O136" s="151"/>
      <c r="P136" s="226">
        <f>$O$103</f>
        <v>7.15</v>
      </c>
      <c r="AA136" s="149"/>
      <c r="AB136" s="150"/>
      <c r="AC136" s="150"/>
      <c r="AD136" s="151"/>
      <c r="AE136" s="150"/>
      <c r="AF136" s="151"/>
      <c r="AG136" s="151"/>
      <c r="AH136" s="166"/>
      <c r="AI136" s="151"/>
      <c r="AJ136" s="150"/>
      <c r="AK136" s="150"/>
      <c r="AL136" s="148"/>
      <c r="AM136" s="148"/>
    </row>
    <row r="137" spans="1:39">
      <c r="A137" s="83">
        <v>135</v>
      </c>
      <c r="B137" s="83" t="s">
        <v>646</v>
      </c>
      <c r="C137" s="124">
        <v>1</v>
      </c>
      <c r="D137" s="87" t="s">
        <v>1104</v>
      </c>
      <c r="AA137" s="150"/>
      <c r="AB137" s="150"/>
      <c r="AC137" s="150"/>
      <c r="AD137" s="151"/>
      <c r="AE137" s="150"/>
      <c r="AF137" s="166"/>
      <c r="AG137" s="150"/>
      <c r="AH137" s="166"/>
      <c r="AI137" s="167"/>
      <c r="AJ137" s="150"/>
      <c r="AK137" s="150"/>
      <c r="AL137" s="148"/>
      <c r="AM137" s="148"/>
    </row>
    <row r="138" spans="1:39">
      <c r="A138" s="83">
        <v>136</v>
      </c>
      <c r="B138" s="83" t="s">
        <v>666</v>
      </c>
      <c r="C138" s="124">
        <v>1</v>
      </c>
      <c r="D138" s="87" t="s">
        <v>1129</v>
      </c>
      <c r="E138" s="377" t="s">
        <v>467</v>
      </c>
      <c r="F138" s="377"/>
      <c r="G138" s="377"/>
      <c r="H138" s="150" t="s">
        <v>612</v>
      </c>
      <c r="I138" s="150" t="s">
        <v>601</v>
      </c>
      <c r="J138" s="167" t="s">
        <v>589</v>
      </c>
      <c r="K138" s="195"/>
      <c r="L138" s="158">
        <f>$K$110</f>
        <v>1.72</v>
      </c>
      <c r="M138" s="151" t="s">
        <v>602</v>
      </c>
      <c r="N138" s="225" t="s">
        <v>604</v>
      </c>
      <c r="O138" s="167"/>
      <c r="P138" s="226">
        <f>$K$108</f>
        <v>38.229999999999997</v>
      </c>
      <c r="AA138" s="150"/>
      <c r="AB138" s="150"/>
      <c r="AC138" s="150"/>
      <c r="AD138" s="151"/>
      <c r="AE138" s="195"/>
      <c r="AF138" s="158"/>
      <c r="AG138" s="151"/>
      <c r="AH138" s="166"/>
      <c r="AI138" s="167"/>
      <c r="AJ138" s="150"/>
      <c r="AK138" s="150"/>
      <c r="AL138" s="148"/>
      <c r="AM138" s="148"/>
    </row>
    <row r="139" spans="1:39">
      <c r="A139" s="83">
        <v>137</v>
      </c>
      <c r="B139" s="83" t="s">
        <v>737</v>
      </c>
      <c r="C139" s="124">
        <v>1</v>
      </c>
      <c r="D139" s="87" t="s">
        <v>139</v>
      </c>
      <c r="H139" s="150" t="s">
        <v>613</v>
      </c>
      <c r="I139" s="150" t="s">
        <v>603</v>
      </c>
      <c r="J139" s="167" t="s">
        <v>589</v>
      </c>
      <c r="K139" s="195"/>
      <c r="L139" s="158">
        <f>$N$110</f>
        <v>1.35</v>
      </c>
      <c r="M139" s="151" t="s">
        <v>602</v>
      </c>
      <c r="N139" s="225" t="s">
        <v>604</v>
      </c>
      <c r="O139" s="167"/>
      <c r="P139" s="226">
        <f>$N$108</f>
        <v>10.61</v>
      </c>
      <c r="AA139" s="150"/>
      <c r="AB139" s="150"/>
      <c r="AC139" s="150"/>
      <c r="AD139" s="151"/>
      <c r="AE139" s="195"/>
      <c r="AF139" s="158"/>
      <c r="AG139" s="151"/>
      <c r="AH139" s="166"/>
      <c r="AI139" s="167"/>
      <c r="AJ139" s="150"/>
      <c r="AK139" s="150"/>
      <c r="AL139" s="148"/>
      <c r="AM139" s="148"/>
    </row>
    <row r="140" spans="1:39">
      <c r="A140" s="83">
        <v>138</v>
      </c>
      <c r="B140" s="83" t="s">
        <v>825</v>
      </c>
      <c r="C140" s="124">
        <v>1</v>
      </c>
      <c r="D140" s="87" t="s">
        <v>140</v>
      </c>
      <c r="H140" s="150" t="s">
        <v>614</v>
      </c>
      <c r="I140" s="150" t="s">
        <v>601</v>
      </c>
      <c r="J140" s="167" t="s">
        <v>605</v>
      </c>
      <c r="K140" s="195"/>
      <c r="L140" s="158">
        <f>$L$110</f>
        <v>1.41</v>
      </c>
      <c r="M140" s="151" t="s">
        <v>602</v>
      </c>
      <c r="N140" s="225" t="s">
        <v>606</v>
      </c>
      <c r="O140" s="151"/>
      <c r="P140" s="226">
        <f>$L$109</f>
        <v>15.67</v>
      </c>
      <c r="AA140" s="150"/>
      <c r="AB140" s="150"/>
      <c r="AC140" s="150"/>
      <c r="AD140" s="195"/>
      <c r="AE140" s="195"/>
      <c r="AF140" s="158"/>
      <c r="AG140" s="151"/>
      <c r="AH140" s="166"/>
      <c r="AI140" s="167"/>
      <c r="AJ140" s="150"/>
      <c r="AK140" s="150"/>
      <c r="AL140" s="148"/>
      <c r="AM140" s="148"/>
    </row>
    <row r="141" spans="1:39">
      <c r="A141" s="83">
        <v>139</v>
      </c>
      <c r="B141" s="83" t="s">
        <v>826</v>
      </c>
      <c r="C141" s="124">
        <v>1</v>
      </c>
      <c r="D141" s="87" t="s">
        <v>141</v>
      </c>
      <c r="H141" s="150" t="s">
        <v>615</v>
      </c>
      <c r="I141" s="150" t="s">
        <v>603</v>
      </c>
      <c r="J141" s="167" t="s">
        <v>605</v>
      </c>
      <c r="K141" s="195"/>
      <c r="L141" s="158">
        <f>$O$110</f>
        <v>1.04</v>
      </c>
      <c r="M141" s="151" t="s">
        <v>602</v>
      </c>
      <c r="N141" s="225" t="s">
        <v>606</v>
      </c>
      <c r="O141" s="151"/>
      <c r="P141" s="226">
        <f>$O$109</f>
        <v>9.34</v>
      </c>
      <c r="AA141" s="150"/>
      <c r="AB141" s="150"/>
      <c r="AC141" s="150"/>
      <c r="AD141" s="195"/>
      <c r="AE141" s="195"/>
      <c r="AF141" s="158"/>
      <c r="AG141" s="151"/>
      <c r="AH141" s="150"/>
      <c r="AI141" s="167"/>
      <c r="AJ141" s="150"/>
      <c r="AK141" s="150"/>
      <c r="AL141" s="148"/>
      <c r="AM141" s="148"/>
    </row>
    <row r="142" spans="1:39">
      <c r="A142" s="83">
        <v>140</v>
      </c>
      <c r="B142" s="83" t="s">
        <v>738</v>
      </c>
      <c r="C142" s="124">
        <v>1</v>
      </c>
      <c r="D142" s="87" t="s">
        <v>142</v>
      </c>
      <c r="AA142" s="150"/>
      <c r="AB142" s="150"/>
      <c r="AC142" s="150"/>
      <c r="AD142" s="150"/>
      <c r="AE142" s="195"/>
      <c r="AF142" s="151"/>
      <c r="AG142" s="151"/>
      <c r="AH142" s="150"/>
      <c r="AI142" s="167"/>
      <c r="AJ142" s="150"/>
      <c r="AK142" s="150"/>
      <c r="AL142" s="148"/>
      <c r="AM142" s="148"/>
    </row>
    <row r="143" spans="1:39">
      <c r="A143" s="83">
        <v>141</v>
      </c>
      <c r="B143" s="83" t="s">
        <v>667</v>
      </c>
      <c r="C143" s="124">
        <v>1</v>
      </c>
      <c r="D143" s="87" t="s">
        <v>143</v>
      </c>
      <c r="AA143" s="150"/>
      <c r="AB143" s="150"/>
      <c r="AC143" s="150"/>
      <c r="AD143" s="151"/>
      <c r="AE143" s="195"/>
      <c r="AF143" s="151"/>
      <c r="AG143" s="151"/>
      <c r="AH143" s="166"/>
      <c r="AI143" s="167"/>
      <c r="AJ143" s="150"/>
      <c r="AK143" s="150"/>
      <c r="AL143" s="148"/>
      <c r="AM143" s="148"/>
    </row>
    <row r="144" spans="1:39">
      <c r="A144" s="83">
        <v>142</v>
      </c>
      <c r="B144" s="83" t="s">
        <v>827</v>
      </c>
      <c r="C144" s="124">
        <v>1</v>
      </c>
      <c r="D144" s="87" t="s">
        <v>144</v>
      </c>
      <c r="E144" s="377" t="s">
        <v>468</v>
      </c>
      <c r="F144" s="377"/>
      <c r="G144" s="377"/>
      <c r="H144" s="150" t="s">
        <v>612</v>
      </c>
      <c r="I144" s="150" t="s">
        <v>601</v>
      </c>
      <c r="J144" s="167" t="s">
        <v>589</v>
      </c>
      <c r="K144" s="195"/>
      <c r="L144" s="158">
        <f>SUM($K$83,$K$86)</f>
        <v>3.84</v>
      </c>
      <c r="M144" s="151" t="s">
        <v>602</v>
      </c>
      <c r="N144" s="225" t="s">
        <v>604</v>
      </c>
      <c r="O144" s="167"/>
      <c r="P144" s="226">
        <f>$K$84</f>
        <v>7.74</v>
      </c>
      <c r="AA144" s="150"/>
      <c r="AB144" s="150"/>
      <c r="AC144" s="150"/>
      <c r="AD144" s="151"/>
      <c r="AE144" s="195"/>
      <c r="AF144" s="151"/>
      <c r="AG144" s="151"/>
      <c r="AH144" s="166"/>
      <c r="AI144" s="167"/>
      <c r="AJ144" s="150"/>
      <c r="AK144" s="150"/>
      <c r="AL144" s="148"/>
      <c r="AM144" s="148"/>
    </row>
    <row r="145" spans="1:39">
      <c r="A145" s="83">
        <v>143</v>
      </c>
      <c r="B145" s="83" t="s">
        <v>973</v>
      </c>
      <c r="C145" s="124">
        <v>1</v>
      </c>
      <c r="D145" s="87" t="s">
        <v>145</v>
      </c>
      <c r="H145" s="150" t="s">
        <v>613</v>
      </c>
      <c r="I145" s="150" t="s">
        <v>603</v>
      </c>
      <c r="J145" s="167" t="s">
        <v>589</v>
      </c>
      <c r="K145" s="195"/>
      <c r="L145" s="158">
        <f>SUM($N$83,$N$86)</f>
        <v>2.5099999999999998</v>
      </c>
      <c r="M145" s="151" t="s">
        <v>602</v>
      </c>
      <c r="N145" s="225" t="s">
        <v>604</v>
      </c>
      <c r="O145" s="167"/>
      <c r="P145" s="226">
        <f>$O$96</f>
        <v>0</v>
      </c>
      <c r="AA145" s="150"/>
      <c r="AB145" s="150"/>
      <c r="AC145" s="150"/>
      <c r="AD145" s="151"/>
      <c r="AE145" s="195"/>
      <c r="AF145" s="151"/>
      <c r="AG145" s="151"/>
      <c r="AH145" s="166"/>
      <c r="AI145" s="167"/>
      <c r="AJ145" s="150"/>
      <c r="AK145" s="150"/>
      <c r="AL145" s="148"/>
      <c r="AM145" s="148"/>
    </row>
    <row r="146" spans="1:39">
      <c r="A146" s="83">
        <v>144</v>
      </c>
      <c r="B146" s="83" t="s">
        <v>937</v>
      </c>
      <c r="C146" s="124">
        <v>1</v>
      </c>
      <c r="D146" s="87" t="s">
        <v>146</v>
      </c>
      <c r="H146" s="150" t="s">
        <v>614</v>
      </c>
      <c r="I146" s="150" t="s">
        <v>601</v>
      </c>
      <c r="J146" s="167" t="s">
        <v>605</v>
      </c>
      <c r="K146" s="195"/>
      <c r="L146" s="158">
        <f>SUM($L$83,$L$86)</f>
        <v>3.15</v>
      </c>
      <c r="M146" s="151" t="s">
        <v>602</v>
      </c>
      <c r="N146" s="225" t="s">
        <v>606</v>
      </c>
      <c r="O146" s="151"/>
      <c r="P146" s="226">
        <f>$L$85</f>
        <v>2.58</v>
      </c>
      <c r="AA146" s="150"/>
      <c r="AB146" s="150"/>
      <c r="AC146" s="150"/>
      <c r="AD146" s="151"/>
      <c r="AE146" s="195"/>
      <c r="AF146" s="151"/>
      <c r="AG146" s="151"/>
      <c r="AH146" s="166"/>
      <c r="AI146" s="167"/>
      <c r="AJ146" s="150"/>
      <c r="AK146" s="150"/>
      <c r="AL146" s="148"/>
      <c r="AM146" s="148"/>
    </row>
    <row r="147" spans="1:39">
      <c r="A147" s="83">
        <v>145</v>
      </c>
      <c r="B147" s="83" t="s">
        <v>828</v>
      </c>
      <c r="C147" s="124">
        <v>1</v>
      </c>
      <c r="D147" s="87" t="s">
        <v>147</v>
      </c>
      <c r="H147" s="150" t="s">
        <v>615</v>
      </c>
      <c r="I147" s="150" t="s">
        <v>603</v>
      </c>
      <c r="J147" s="167" t="s">
        <v>605</v>
      </c>
      <c r="K147" s="195"/>
      <c r="L147" s="158">
        <f>SUM($O$83,$O$86)</f>
        <v>1.9300000000000002</v>
      </c>
      <c r="M147" s="151" t="s">
        <v>602</v>
      </c>
      <c r="N147" s="225" t="s">
        <v>606</v>
      </c>
      <c r="O147" s="151"/>
      <c r="P147" s="226">
        <f>$O$85</f>
        <v>0</v>
      </c>
      <c r="AA147" s="150"/>
      <c r="AB147" s="150"/>
      <c r="AC147" s="150"/>
      <c r="AD147" s="151"/>
      <c r="AE147" s="195"/>
      <c r="AF147" s="151"/>
      <c r="AG147" s="151"/>
      <c r="AH147" s="166"/>
      <c r="AI147" s="167"/>
      <c r="AJ147" s="150"/>
      <c r="AK147" s="150"/>
      <c r="AL147" s="148"/>
      <c r="AM147" s="148"/>
    </row>
    <row r="148" spans="1:39">
      <c r="A148" s="83">
        <v>146</v>
      </c>
      <c r="B148" s="83" t="s">
        <v>1003</v>
      </c>
      <c r="C148" s="124">
        <v>1</v>
      </c>
      <c r="D148" s="87" t="s">
        <v>1174</v>
      </c>
      <c r="AA148" s="149"/>
      <c r="AB148" s="150"/>
      <c r="AC148" s="150"/>
      <c r="AD148" s="151"/>
      <c r="AE148" s="150"/>
      <c r="AF148" s="166"/>
      <c r="AG148" s="150"/>
      <c r="AH148" s="166"/>
      <c r="AI148" s="167"/>
      <c r="AJ148" s="150"/>
      <c r="AK148" s="150"/>
      <c r="AL148" s="148"/>
      <c r="AM148" s="148"/>
    </row>
    <row r="149" spans="1:39">
      <c r="A149" s="83">
        <v>147</v>
      </c>
      <c r="B149" s="83" t="s">
        <v>862</v>
      </c>
      <c r="C149" s="124">
        <v>1</v>
      </c>
      <c r="D149" s="87" t="s">
        <v>184</v>
      </c>
      <c r="AA149" s="150"/>
      <c r="AB149" s="150"/>
      <c r="AC149" s="150"/>
      <c r="AD149" s="151"/>
      <c r="AE149" s="150"/>
      <c r="AF149" s="166"/>
      <c r="AG149" s="150"/>
      <c r="AH149" s="166"/>
      <c r="AI149" s="167"/>
      <c r="AJ149" s="150"/>
      <c r="AK149" s="150"/>
      <c r="AL149" s="148"/>
      <c r="AM149" s="148"/>
    </row>
    <row r="150" spans="1:39">
      <c r="A150" s="83">
        <v>148</v>
      </c>
      <c r="B150" s="83" t="s">
        <v>938</v>
      </c>
      <c r="C150" s="124">
        <v>1</v>
      </c>
      <c r="D150" s="87" t="s">
        <v>185</v>
      </c>
      <c r="E150" s="377" t="s">
        <v>469</v>
      </c>
      <c r="F150" s="377"/>
      <c r="G150" s="377"/>
      <c r="H150" s="150" t="s">
        <v>612</v>
      </c>
      <c r="I150" s="150" t="s">
        <v>601</v>
      </c>
      <c r="J150" s="167" t="s">
        <v>589</v>
      </c>
      <c r="K150" s="195"/>
      <c r="L150" s="158">
        <f>SUM($K$89,$K$92)</f>
        <v>4.1100000000000003</v>
      </c>
      <c r="M150" s="151" t="s">
        <v>602</v>
      </c>
      <c r="N150" s="225" t="s">
        <v>604</v>
      </c>
      <c r="O150" s="167"/>
      <c r="P150" s="226">
        <f>$K$90</f>
        <v>10.89</v>
      </c>
      <c r="AA150" s="150"/>
      <c r="AB150" s="150"/>
      <c r="AC150" s="150"/>
      <c r="AD150" s="151"/>
      <c r="AE150" s="150"/>
      <c r="AF150" s="166"/>
      <c r="AG150" s="150"/>
      <c r="AH150" s="166"/>
      <c r="AI150" s="167"/>
      <c r="AJ150" s="150"/>
      <c r="AK150" s="150"/>
      <c r="AL150" s="148"/>
      <c r="AM150" s="148"/>
    </row>
    <row r="151" spans="1:39">
      <c r="A151" s="83">
        <v>149</v>
      </c>
      <c r="B151" s="83" t="s">
        <v>863</v>
      </c>
      <c r="C151" s="124">
        <v>4</v>
      </c>
      <c r="D151" s="87" t="s">
        <v>186</v>
      </c>
      <c r="H151" s="150" t="s">
        <v>613</v>
      </c>
      <c r="I151" s="150" t="s">
        <v>603</v>
      </c>
      <c r="J151" s="167" t="s">
        <v>589</v>
      </c>
      <c r="K151" s="195"/>
      <c r="L151" s="158">
        <f>SUM($N$89,$N$92)</f>
        <v>2.68</v>
      </c>
      <c r="M151" s="151" t="s">
        <v>602</v>
      </c>
      <c r="N151" s="225" t="s">
        <v>604</v>
      </c>
      <c r="O151" s="167"/>
      <c r="P151" s="226">
        <f>$N$90</f>
        <v>0.76</v>
      </c>
      <c r="AA151" s="167"/>
      <c r="AB151" s="167"/>
      <c r="AC151" s="150"/>
      <c r="AD151" s="151"/>
      <c r="AE151" s="150"/>
      <c r="AF151" s="167"/>
      <c r="AG151" s="167"/>
      <c r="AH151" s="166"/>
      <c r="AI151" s="167"/>
      <c r="AJ151" s="150"/>
      <c r="AK151" s="150"/>
      <c r="AL151" s="148"/>
      <c r="AM151" s="148"/>
    </row>
    <row r="152" spans="1:39">
      <c r="A152" s="83">
        <v>150</v>
      </c>
      <c r="B152" s="83" t="s">
        <v>1211</v>
      </c>
      <c r="C152" s="124">
        <v>1</v>
      </c>
      <c r="D152" s="87" t="s">
        <v>1175</v>
      </c>
      <c r="H152" s="150" t="s">
        <v>614</v>
      </c>
      <c r="I152" s="150" t="s">
        <v>601</v>
      </c>
      <c r="J152" s="167" t="s">
        <v>605</v>
      </c>
      <c r="K152" s="195"/>
      <c r="L152" s="158">
        <f>SUM($L$89,$L$92)</f>
        <v>3.37</v>
      </c>
      <c r="M152" s="151" t="s">
        <v>602</v>
      </c>
      <c r="N152" s="225" t="s">
        <v>606</v>
      </c>
      <c r="O152" s="151"/>
      <c r="P152" s="226">
        <f>$L$91</f>
        <v>3.62</v>
      </c>
      <c r="AA152" s="150"/>
      <c r="AB152" s="167"/>
      <c r="AC152" s="150"/>
      <c r="AD152" s="151"/>
      <c r="AE152" s="150"/>
      <c r="AF152" s="167"/>
      <c r="AG152" s="167"/>
      <c r="AH152" s="166"/>
      <c r="AI152" s="167"/>
      <c r="AJ152" s="150"/>
      <c r="AK152" s="150"/>
      <c r="AL152" s="148"/>
      <c r="AM152" s="148"/>
    </row>
    <row r="153" spans="1:39">
      <c r="A153" s="83">
        <v>151</v>
      </c>
      <c r="B153" s="83" t="s">
        <v>668</v>
      </c>
      <c r="C153" s="124">
        <v>1</v>
      </c>
      <c r="D153" s="87" t="s">
        <v>1130</v>
      </c>
      <c r="H153" s="150" t="s">
        <v>615</v>
      </c>
      <c r="I153" s="150" t="s">
        <v>603</v>
      </c>
      <c r="J153" s="167" t="s">
        <v>605</v>
      </c>
      <c r="K153" s="195"/>
      <c r="L153" s="158">
        <f>SUM($O$89,$O$92)</f>
        <v>2.06</v>
      </c>
      <c r="M153" s="151" t="s">
        <v>602</v>
      </c>
      <c r="N153" s="225" t="s">
        <v>606</v>
      </c>
      <c r="O153" s="151"/>
      <c r="P153" s="226">
        <f>$O$91</f>
        <v>0.15</v>
      </c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</row>
    <row r="154" spans="1:39">
      <c r="A154" s="83">
        <v>152</v>
      </c>
      <c r="B154" s="83" t="s">
        <v>739</v>
      </c>
      <c r="C154" s="124">
        <v>1</v>
      </c>
      <c r="D154" s="87" t="s">
        <v>188</v>
      </c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</row>
    <row r="155" spans="1:39">
      <c r="A155" s="83">
        <v>153</v>
      </c>
      <c r="B155" s="83" t="s">
        <v>939</v>
      </c>
      <c r="C155" s="124">
        <v>1</v>
      </c>
      <c r="D155" s="87" t="s">
        <v>189</v>
      </c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</row>
    <row r="156" spans="1:39">
      <c r="A156" s="83">
        <v>154</v>
      </c>
      <c r="B156" s="83" t="s">
        <v>864</v>
      </c>
      <c r="C156" s="124">
        <v>1</v>
      </c>
      <c r="D156" s="87" t="s">
        <v>190</v>
      </c>
      <c r="E156" s="377" t="s">
        <v>470</v>
      </c>
      <c r="F156" s="377"/>
      <c r="G156" s="377"/>
      <c r="H156" s="150" t="s">
        <v>612</v>
      </c>
      <c r="I156" s="150" t="s">
        <v>601</v>
      </c>
      <c r="J156" s="167" t="s">
        <v>589</v>
      </c>
      <c r="K156" s="195"/>
      <c r="L156" s="158">
        <f>SUM($K$95,$K$98)</f>
        <v>4.93</v>
      </c>
      <c r="M156" s="151" t="s">
        <v>602</v>
      </c>
      <c r="N156" s="225" t="s">
        <v>604</v>
      </c>
      <c r="O156" s="167"/>
      <c r="P156" s="226">
        <f>$K$96</f>
        <v>20.32</v>
      </c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</row>
    <row r="157" spans="1:39">
      <c r="A157" s="83">
        <v>155</v>
      </c>
      <c r="B157" s="83" t="s">
        <v>940</v>
      </c>
      <c r="C157" s="124">
        <v>1</v>
      </c>
      <c r="D157" s="87" t="s">
        <v>191</v>
      </c>
      <c r="H157" s="150" t="s">
        <v>613</v>
      </c>
      <c r="I157" s="150" t="s">
        <v>603</v>
      </c>
      <c r="J157" s="167" t="s">
        <v>589</v>
      </c>
      <c r="K157" s="195"/>
      <c r="L157" s="158">
        <f>SUM($N$95,$N$98)</f>
        <v>3.1900000000000004</v>
      </c>
      <c r="M157" s="151" t="s">
        <v>602</v>
      </c>
      <c r="N157" s="225" t="s">
        <v>604</v>
      </c>
      <c r="O157" s="167"/>
      <c r="P157" s="226">
        <f>$N$96</f>
        <v>3.03</v>
      </c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</row>
    <row r="158" spans="1:39">
      <c r="A158" s="83">
        <v>156</v>
      </c>
      <c r="B158" s="83" t="s">
        <v>829</v>
      </c>
      <c r="C158" s="124">
        <v>1</v>
      </c>
      <c r="D158" s="87" t="s">
        <v>192</v>
      </c>
      <c r="H158" s="150" t="s">
        <v>614</v>
      </c>
      <c r="I158" s="150" t="s">
        <v>601</v>
      </c>
      <c r="J158" s="167" t="s">
        <v>605</v>
      </c>
      <c r="K158" s="195"/>
      <c r="L158" s="158">
        <f>SUM($L$95,$L$98)</f>
        <v>4.04</v>
      </c>
      <c r="M158" s="151" t="s">
        <v>602</v>
      </c>
      <c r="N158" s="225" t="s">
        <v>606</v>
      </c>
      <c r="O158" s="151"/>
      <c r="P158" s="226">
        <f>$L$97</f>
        <v>6.75</v>
      </c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</row>
    <row r="159" spans="1:39">
      <c r="A159" s="83">
        <v>157</v>
      </c>
      <c r="B159" s="83" t="s">
        <v>701</v>
      </c>
      <c r="C159" s="124">
        <v>1</v>
      </c>
      <c r="D159" s="87" t="s">
        <v>102</v>
      </c>
      <c r="H159" s="150" t="s">
        <v>615</v>
      </c>
      <c r="I159" s="150" t="s">
        <v>603</v>
      </c>
      <c r="J159" s="167" t="s">
        <v>605</v>
      </c>
      <c r="K159" s="195"/>
      <c r="L159" s="158">
        <f>SUM($O$95,$O$98)</f>
        <v>2.46</v>
      </c>
      <c r="M159" s="151" t="s">
        <v>602</v>
      </c>
      <c r="N159" s="225" t="s">
        <v>606</v>
      </c>
      <c r="O159" s="151"/>
      <c r="P159" s="226">
        <f>$O$97</f>
        <v>0.57999999999999996</v>
      </c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</row>
    <row r="160" spans="1:39">
      <c r="A160" s="83">
        <v>158</v>
      </c>
      <c r="B160" s="83" t="s">
        <v>504</v>
      </c>
      <c r="C160" s="124">
        <v>1</v>
      </c>
      <c r="D160" s="87" t="s">
        <v>505</v>
      </c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</row>
    <row r="161" spans="1:39">
      <c r="A161" s="83">
        <v>159</v>
      </c>
      <c r="B161" s="83" t="s">
        <v>685</v>
      </c>
      <c r="C161" s="124">
        <v>1</v>
      </c>
      <c r="D161" s="87" t="s">
        <v>1090</v>
      </c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</row>
    <row r="162" spans="1:39">
      <c r="A162" s="83">
        <v>160</v>
      </c>
      <c r="B162" s="83" t="s">
        <v>647</v>
      </c>
      <c r="C162" s="124">
        <v>1</v>
      </c>
      <c r="D162" s="87" t="s">
        <v>1105</v>
      </c>
      <c r="E162" s="377" t="s">
        <v>471</v>
      </c>
      <c r="F162" s="377"/>
      <c r="G162" s="377"/>
      <c r="H162" s="150" t="s">
        <v>612</v>
      </c>
      <c r="I162" s="150" t="s">
        <v>601</v>
      </c>
      <c r="J162" s="167" t="s">
        <v>589</v>
      </c>
      <c r="K162" s="195"/>
      <c r="L162" s="158">
        <f>SUM($K$101,$K$104)</f>
        <v>6.6099999999999994</v>
      </c>
      <c r="M162" s="151" t="s">
        <v>602</v>
      </c>
      <c r="N162" s="225" t="s">
        <v>604</v>
      </c>
      <c r="O162" s="167"/>
      <c r="P162" s="226">
        <f>$K$102</f>
        <v>31.21</v>
      </c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</row>
    <row r="163" spans="1:39">
      <c r="A163" s="83">
        <v>161</v>
      </c>
      <c r="B163" s="83" t="s">
        <v>830</v>
      </c>
      <c r="C163" s="124">
        <v>5</v>
      </c>
      <c r="D163" s="87" t="s">
        <v>193</v>
      </c>
      <c r="H163" s="150" t="s">
        <v>613</v>
      </c>
      <c r="I163" s="150" t="s">
        <v>603</v>
      </c>
      <c r="J163" s="167" t="s">
        <v>589</v>
      </c>
      <c r="K163" s="195"/>
      <c r="L163" s="158">
        <f>SUM($N$101,$N$104)</f>
        <v>4.38</v>
      </c>
      <c r="M163" s="151" t="s">
        <v>602</v>
      </c>
      <c r="N163" s="225" t="s">
        <v>604</v>
      </c>
      <c r="O163" s="167"/>
      <c r="P163" s="226">
        <f>$N$102</f>
        <v>8.7200000000000006</v>
      </c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</row>
    <row r="164" spans="1:39">
      <c r="A164" s="83">
        <v>162</v>
      </c>
      <c r="B164" s="83" t="s">
        <v>974</v>
      </c>
      <c r="C164" s="124">
        <v>1</v>
      </c>
      <c r="D164" s="87" t="s">
        <v>194</v>
      </c>
      <c r="H164" s="150" t="s">
        <v>614</v>
      </c>
      <c r="I164" s="150" t="s">
        <v>601</v>
      </c>
      <c r="J164" s="167" t="s">
        <v>605</v>
      </c>
      <c r="K164" s="195"/>
      <c r="L164" s="158">
        <f>SUM($L$101,$L$104)</f>
        <v>5.42</v>
      </c>
      <c r="M164" s="151" t="s">
        <v>602</v>
      </c>
      <c r="N164" s="225" t="s">
        <v>606</v>
      </c>
      <c r="O164" s="151"/>
      <c r="P164" s="226">
        <f>$L$103</f>
        <v>13.44</v>
      </c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</row>
    <row r="165" spans="1:39">
      <c r="A165" s="83">
        <v>163</v>
      </c>
      <c r="B165" s="83" t="s">
        <v>771</v>
      </c>
      <c r="C165" s="124">
        <v>1</v>
      </c>
      <c r="D165" s="87" t="s">
        <v>195</v>
      </c>
      <c r="H165" s="150" t="s">
        <v>615</v>
      </c>
      <c r="I165" s="150" t="s">
        <v>603</v>
      </c>
      <c r="J165" s="167" t="s">
        <v>605</v>
      </c>
      <c r="K165" s="195"/>
      <c r="L165" s="158">
        <f>SUM($O$101,$O$104)</f>
        <v>3.37</v>
      </c>
      <c r="M165" s="151" t="s">
        <v>602</v>
      </c>
      <c r="N165" s="225" t="s">
        <v>606</v>
      </c>
      <c r="O165" s="151"/>
      <c r="P165" s="226">
        <f>$O$103</f>
        <v>7.15</v>
      </c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</row>
    <row r="166" spans="1:39">
      <c r="A166" s="83">
        <v>164</v>
      </c>
      <c r="B166" s="83" t="s">
        <v>831</v>
      </c>
      <c r="C166" s="124">
        <v>1</v>
      </c>
      <c r="D166" s="87" t="s">
        <v>196</v>
      </c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</row>
    <row r="167" spans="1:39">
      <c r="A167" s="83">
        <v>165</v>
      </c>
      <c r="B167" s="83" t="s">
        <v>902</v>
      </c>
      <c r="C167" s="124">
        <v>1</v>
      </c>
      <c r="D167" s="87" t="s">
        <v>198</v>
      </c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</row>
    <row r="168" spans="1:39">
      <c r="A168" s="83">
        <v>166</v>
      </c>
      <c r="B168" s="83" t="s">
        <v>772</v>
      </c>
      <c r="C168" s="124">
        <v>1</v>
      </c>
      <c r="D168" s="87" t="s">
        <v>199</v>
      </c>
      <c r="E168" s="377" t="s">
        <v>472</v>
      </c>
      <c r="F168" s="377"/>
      <c r="G168" s="377"/>
      <c r="H168" s="150" t="s">
        <v>612</v>
      </c>
      <c r="I168" s="150" t="s">
        <v>601</v>
      </c>
      <c r="J168" s="167" t="s">
        <v>589</v>
      </c>
      <c r="K168" s="195"/>
      <c r="L168" s="158">
        <f>SUM($K$107,$K$110)</f>
        <v>7.17</v>
      </c>
      <c r="M168" s="151" t="s">
        <v>602</v>
      </c>
      <c r="N168" s="225" t="s">
        <v>604</v>
      </c>
      <c r="O168" s="167"/>
      <c r="P168" s="226">
        <f>$K$108</f>
        <v>38.229999999999997</v>
      </c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</row>
    <row r="169" spans="1:39">
      <c r="A169" s="83">
        <v>167</v>
      </c>
      <c r="B169" s="83" t="s">
        <v>98</v>
      </c>
      <c r="C169" s="124">
        <v>3</v>
      </c>
      <c r="D169" s="87" t="s">
        <v>99</v>
      </c>
      <c r="H169" s="150" t="s">
        <v>613</v>
      </c>
      <c r="I169" s="150" t="s">
        <v>603</v>
      </c>
      <c r="J169" s="167" t="s">
        <v>589</v>
      </c>
      <c r="K169" s="195"/>
      <c r="L169" s="158">
        <f>SUM($N$107,$N$110)</f>
        <v>4.78</v>
      </c>
      <c r="M169" s="151" t="s">
        <v>602</v>
      </c>
      <c r="N169" s="225" t="s">
        <v>604</v>
      </c>
      <c r="O169" s="167"/>
      <c r="P169" s="226">
        <f>$N$108</f>
        <v>10.61</v>
      </c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</row>
    <row r="170" spans="1:39">
      <c r="A170" s="83">
        <v>168</v>
      </c>
      <c r="B170" s="83" t="s">
        <v>702</v>
      </c>
      <c r="C170" s="124">
        <v>1</v>
      </c>
      <c r="D170" s="87" t="s">
        <v>1176</v>
      </c>
      <c r="H170" s="150" t="s">
        <v>614</v>
      </c>
      <c r="I170" s="150" t="s">
        <v>601</v>
      </c>
      <c r="J170" s="167" t="s">
        <v>605</v>
      </c>
      <c r="K170" s="195"/>
      <c r="L170" s="158">
        <f>SUM($L$107,$L$110)</f>
        <v>5.88</v>
      </c>
      <c r="M170" s="151" t="s">
        <v>602</v>
      </c>
      <c r="N170" s="225" t="s">
        <v>606</v>
      </c>
      <c r="O170" s="151"/>
      <c r="P170" s="226">
        <f>$L$109</f>
        <v>15.67</v>
      </c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</row>
    <row r="171" spans="1:39">
      <c r="A171" s="83">
        <v>169</v>
      </c>
      <c r="B171" s="83" t="s">
        <v>903</v>
      </c>
      <c r="C171" s="124">
        <v>1</v>
      </c>
      <c r="D171" s="87" t="s">
        <v>200</v>
      </c>
      <c r="H171" s="150" t="s">
        <v>615</v>
      </c>
      <c r="I171" s="150" t="s">
        <v>603</v>
      </c>
      <c r="J171" s="167" t="s">
        <v>605</v>
      </c>
      <c r="K171" s="195"/>
      <c r="L171" s="158">
        <f>SUM($O$107,$O$110)</f>
        <v>3.68</v>
      </c>
      <c r="M171" s="151" t="s">
        <v>602</v>
      </c>
      <c r="N171" s="225" t="s">
        <v>606</v>
      </c>
      <c r="O171" s="151"/>
      <c r="P171" s="226">
        <f>$O$109</f>
        <v>9.34</v>
      </c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</row>
    <row r="172" spans="1:39">
      <c r="A172" s="83">
        <v>170</v>
      </c>
      <c r="B172" s="83" t="s">
        <v>865</v>
      </c>
      <c r="C172" s="124">
        <v>1</v>
      </c>
      <c r="D172" s="87" t="s">
        <v>201</v>
      </c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</row>
    <row r="173" spans="1:39">
      <c r="A173" s="83">
        <v>171</v>
      </c>
      <c r="B173" s="83" t="s">
        <v>975</v>
      </c>
      <c r="C173" s="124">
        <v>1</v>
      </c>
      <c r="D173" s="87" t="s">
        <v>197</v>
      </c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</row>
    <row r="174" spans="1:39">
      <c r="A174" s="83">
        <v>172</v>
      </c>
      <c r="B174" s="83" t="s">
        <v>1197</v>
      </c>
      <c r="C174" s="124">
        <v>5</v>
      </c>
      <c r="D174" s="87" t="s">
        <v>1198</v>
      </c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</row>
    <row r="175" spans="1:39">
      <c r="A175" s="83">
        <v>173</v>
      </c>
      <c r="B175" s="83" t="s">
        <v>1000</v>
      </c>
      <c r="C175" s="124">
        <v>1</v>
      </c>
      <c r="D175" s="87" t="s">
        <v>202</v>
      </c>
      <c r="H175" s="150"/>
      <c r="I175" s="150"/>
      <c r="J175" s="151"/>
      <c r="K175" s="195"/>
      <c r="L175" s="158"/>
      <c r="M175" s="151"/>
      <c r="N175" s="166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</row>
    <row r="176" spans="1:39">
      <c r="A176" s="83">
        <v>174</v>
      </c>
      <c r="B176" s="83" t="s">
        <v>866</v>
      </c>
      <c r="C176" s="124">
        <v>1</v>
      </c>
      <c r="D176" s="87" t="s">
        <v>203</v>
      </c>
      <c r="E176" s="377" t="s">
        <v>530</v>
      </c>
      <c r="F176" s="377"/>
      <c r="G176" s="377"/>
      <c r="H176" s="150" t="s">
        <v>616</v>
      </c>
      <c r="I176" s="150" t="s">
        <v>609</v>
      </c>
      <c r="J176" s="167" t="s">
        <v>589</v>
      </c>
      <c r="K176" s="195"/>
      <c r="L176" s="158">
        <f>($AF$32/2)/1.2+$K$83+$K$86</f>
        <v>15.785833333333334</v>
      </c>
      <c r="M176" s="151" t="s">
        <v>602</v>
      </c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</row>
    <row r="177" spans="1:39">
      <c r="A177" s="83">
        <v>175</v>
      </c>
      <c r="B177" s="83" t="s">
        <v>867</v>
      </c>
      <c r="C177" s="124">
        <v>5</v>
      </c>
      <c r="D177" s="87" t="s">
        <v>204</v>
      </c>
      <c r="H177" s="150" t="s">
        <v>617</v>
      </c>
      <c r="I177" s="150" t="s">
        <v>611</v>
      </c>
      <c r="J177" s="167" t="s">
        <v>589</v>
      </c>
      <c r="K177" s="195"/>
      <c r="L177" s="158">
        <f>($AF$35/2)/1.2+$N$83+$N$86</f>
        <v>11.868333333333334</v>
      </c>
      <c r="M177" s="151" t="s">
        <v>602</v>
      </c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</row>
    <row r="178" spans="1:39">
      <c r="A178" s="83">
        <v>176</v>
      </c>
      <c r="B178" s="101" t="s">
        <v>1220</v>
      </c>
      <c r="C178" s="124">
        <v>5</v>
      </c>
      <c r="D178" s="87" t="s">
        <v>1223</v>
      </c>
      <c r="H178" s="150" t="s">
        <v>618</v>
      </c>
      <c r="I178" s="150" t="s">
        <v>609</v>
      </c>
      <c r="J178" s="167" t="s">
        <v>605</v>
      </c>
      <c r="K178" s="195"/>
      <c r="L178" s="158">
        <f>($AF$33/2)/1.2+$L$83+$L$86</f>
        <v>12.945833333333335</v>
      </c>
      <c r="M178" s="151" t="s">
        <v>602</v>
      </c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</row>
    <row r="179" spans="1:39">
      <c r="A179" s="83">
        <v>177</v>
      </c>
      <c r="B179" s="83" t="s">
        <v>941</v>
      </c>
      <c r="C179" s="124">
        <v>1</v>
      </c>
      <c r="D179" s="87" t="s">
        <v>205</v>
      </c>
      <c r="H179" s="150" t="s">
        <v>619</v>
      </c>
      <c r="I179" s="150" t="s">
        <v>611</v>
      </c>
      <c r="J179" s="167" t="s">
        <v>605</v>
      </c>
      <c r="K179" s="195"/>
      <c r="L179" s="158">
        <f>($AF$36/2)/1.2+$O$83+$O$86</f>
        <v>9.1383333333333354</v>
      </c>
      <c r="M179" s="151" t="s">
        <v>602</v>
      </c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</row>
    <row r="180" spans="1:39">
      <c r="A180" s="83">
        <v>178</v>
      </c>
      <c r="B180" s="83" t="s">
        <v>942</v>
      </c>
      <c r="C180" s="124">
        <v>1</v>
      </c>
      <c r="D180" s="87" t="s">
        <v>206</v>
      </c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</row>
    <row r="181" spans="1:39">
      <c r="A181" s="83">
        <v>179</v>
      </c>
      <c r="B181" s="83" t="s">
        <v>976</v>
      </c>
      <c r="C181" s="124">
        <v>1</v>
      </c>
      <c r="D181" s="87" t="s">
        <v>207</v>
      </c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</row>
    <row r="182" spans="1:39">
      <c r="A182" s="83">
        <v>180</v>
      </c>
      <c r="B182" s="83" t="s">
        <v>832</v>
      </c>
      <c r="C182" s="124">
        <v>5</v>
      </c>
      <c r="D182" s="87" t="s">
        <v>208</v>
      </c>
      <c r="E182" s="377" t="s">
        <v>531</v>
      </c>
      <c r="F182" s="377"/>
      <c r="G182" s="377"/>
      <c r="H182" s="150" t="s">
        <v>616</v>
      </c>
      <c r="I182" s="150" t="s">
        <v>609</v>
      </c>
      <c r="J182" s="167" t="s">
        <v>589</v>
      </c>
      <c r="K182" s="195"/>
      <c r="L182" s="158">
        <f>($AF$32/2)/1.2+$K$89+$K$92</f>
        <v>16.055833333333336</v>
      </c>
      <c r="M182" s="151" t="s">
        <v>602</v>
      </c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</row>
    <row r="183" spans="1:39">
      <c r="A183" s="83">
        <v>181</v>
      </c>
      <c r="B183" s="83" t="s">
        <v>833</v>
      </c>
      <c r="C183" s="124">
        <v>1</v>
      </c>
      <c r="D183" s="87" t="s">
        <v>209</v>
      </c>
      <c r="H183" s="150" t="s">
        <v>617</v>
      </c>
      <c r="I183" s="150" t="s">
        <v>611</v>
      </c>
      <c r="J183" s="167" t="s">
        <v>589</v>
      </c>
      <c r="K183" s="195"/>
      <c r="L183" s="158">
        <f>($AF$35/2)/1.2+$N$89+$N$92</f>
        <v>12.038333333333334</v>
      </c>
      <c r="M183" s="151" t="s">
        <v>602</v>
      </c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</row>
    <row r="184" spans="1:39">
      <c r="A184" s="83">
        <v>182</v>
      </c>
      <c r="B184" s="83" t="s">
        <v>1199</v>
      </c>
      <c r="C184" s="124">
        <v>5</v>
      </c>
      <c r="D184" s="87" t="s">
        <v>1196</v>
      </c>
      <c r="H184" s="150" t="s">
        <v>618</v>
      </c>
      <c r="I184" s="150" t="s">
        <v>609</v>
      </c>
      <c r="J184" s="167" t="s">
        <v>605</v>
      </c>
      <c r="K184" s="195"/>
      <c r="L184" s="158">
        <f>($AF$33/2)/1.2+$L$89+$L$92</f>
        <v>13.165833333333335</v>
      </c>
      <c r="M184" s="151" t="s">
        <v>602</v>
      </c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</row>
    <row r="185" spans="1:39">
      <c r="A185" s="83">
        <v>183</v>
      </c>
      <c r="B185" s="83" t="s">
        <v>809</v>
      </c>
      <c r="C185" s="124">
        <v>1</v>
      </c>
      <c r="D185" s="87" t="s">
        <v>210</v>
      </c>
      <c r="H185" s="150" t="s">
        <v>619</v>
      </c>
      <c r="I185" s="150" t="s">
        <v>611</v>
      </c>
      <c r="J185" s="167" t="s">
        <v>605</v>
      </c>
      <c r="K185" s="195"/>
      <c r="L185" s="158">
        <f>($AF$36/2)/1.2+$O$89+$O$92</f>
        <v>9.2683333333333344</v>
      </c>
      <c r="M185" s="151" t="s">
        <v>602</v>
      </c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</row>
    <row r="186" spans="1:39">
      <c r="A186" s="83">
        <v>184</v>
      </c>
      <c r="B186" s="83" t="s">
        <v>648</v>
      </c>
      <c r="C186" s="124">
        <v>1</v>
      </c>
      <c r="D186" s="87" t="s">
        <v>1106</v>
      </c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</row>
    <row r="187" spans="1:39">
      <c r="A187" s="83">
        <v>185</v>
      </c>
      <c r="B187" s="83" t="s">
        <v>868</v>
      </c>
      <c r="C187" s="124">
        <v>3</v>
      </c>
      <c r="D187" s="87" t="s">
        <v>211</v>
      </c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</row>
    <row r="188" spans="1:39">
      <c r="A188" s="83">
        <v>186</v>
      </c>
      <c r="B188" s="83" t="s">
        <v>669</v>
      </c>
      <c r="C188" s="124">
        <v>1</v>
      </c>
      <c r="D188" s="87" t="s">
        <v>212</v>
      </c>
      <c r="E188" s="377" t="s">
        <v>532</v>
      </c>
      <c r="F188" s="377"/>
      <c r="G188" s="377"/>
      <c r="H188" s="150" t="s">
        <v>616</v>
      </c>
      <c r="I188" s="150" t="s">
        <v>609</v>
      </c>
      <c r="J188" s="167" t="s">
        <v>589</v>
      </c>
      <c r="K188" s="195"/>
      <c r="L188" s="158">
        <f>($AF$32/2)/1.2+$K$95+$K$98</f>
        <v>16.875833333333333</v>
      </c>
      <c r="M188" s="151" t="s">
        <v>602</v>
      </c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</row>
    <row r="189" spans="1:39">
      <c r="A189" s="83">
        <v>187</v>
      </c>
      <c r="B189" s="83" t="s">
        <v>670</v>
      </c>
      <c r="C189" s="124">
        <v>2</v>
      </c>
      <c r="D189" s="87" t="s">
        <v>213</v>
      </c>
      <c r="H189" s="150" t="s">
        <v>617</v>
      </c>
      <c r="I189" s="150" t="s">
        <v>611</v>
      </c>
      <c r="J189" s="167" t="s">
        <v>589</v>
      </c>
      <c r="K189" s="195"/>
      <c r="L189" s="158">
        <f>($AF$35/2)/1.2+$N$95+$N$98</f>
        <v>12.548333333333334</v>
      </c>
      <c r="M189" s="151" t="s">
        <v>602</v>
      </c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</row>
    <row r="190" spans="1:39">
      <c r="A190" s="83">
        <v>188</v>
      </c>
      <c r="B190" s="83" t="s">
        <v>869</v>
      </c>
      <c r="C190" s="124">
        <v>1</v>
      </c>
      <c r="D190" s="87" t="s">
        <v>214</v>
      </c>
      <c r="H190" s="150" t="s">
        <v>618</v>
      </c>
      <c r="I190" s="150" t="s">
        <v>609</v>
      </c>
      <c r="J190" s="167" t="s">
        <v>605</v>
      </c>
      <c r="K190" s="195"/>
      <c r="L190" s="158">
        <f>($AF$33/2)/1.2+$L$95+$L$98</f>
        <v>13.835833333333333</v>
      </c>
      <c r="M190" s="151" t="s">
        <v>602</v>
      </c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</row>
    <row r="191" spans="1:39">
      <c r="A191" s="83">
        <v>189</v>
      </c>
      <c r="B191" s="83" t="s">
        <v>870</v>
      </c>
      <c r="C191" s="124">
        <v>3</v>
      </c>
      <c r="D191" s="87" t="s">
        <v>215</v>
      </c>
      <c r="H191" s="150" t="s">
        <v>619</v>
      </c>
      <c r="I191" s="150" t="s">
        <v>611</v>
      </c>
      <c r="J191" s="167" t="s">
        <v>605</v>
      </c>
      <c r="K191" s="195"/>
      <c r="L191" s="158">
        <f>($AF$36/2)/1.2+$O$95+$O$98</f>
        <v>9.668333333333333</v>
      </c>
      <c r="M191" s="151" t="s">
        <v>602</v>
      </c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</row>
    <row r="192" spans="1:39">
      <c r="A192" s="83">
        <v>190</v>
      </c>
      <c r="B192" s="83" t="s">
        <v>871</v>
      </c>
      <c r="C192" s="124">
        <v>1</v>
      </c>
      <c r="D192" s="87" t="s">
        <v>216</v>
      </c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</row>
    <row r="193" spans="1:39">
      <c r="A193" s="83">
        <v>191</v>
      </c>
      <c r="B193" s="83" t="s">
        <v>994</v>
      </c>
      <c r="C193" s="124">
        <v>1</v>
      </c>
      <c r="D193" s="87" t="s">
        <v>217</v>
      </c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</row>
    <row r="194" spans="1:39">
      <c r="A194" s="83">
        <v>192</v>
      </c>
      <c r="B194" s="83" t="s">
        <v>501</v>
      </c>
      <c r="C194" s="124">
        <v>1</v>
      </c>
      <c r="D194" s="87" t="s">
        <v>1225</v>
      </c>
      <c r="E194" s="377" t="s">
        <v>533</v>
      </c>
      <c r="F194" s="377"/>
      <c r="G194" s="377"/>
      <c r="H194" s="150" t="s">
        <v>616</v>
      </c>
      <c r="I194" s="150" t="s">
        <v>609</v>
      </c>
      <c r="J194" s="167" t="s">
        <v>589</v>
      </c>
      <c r="K194" s="195"/>
      <c r="L194" s="158">
        <f>($AF$32/2)/1.2+$K$101+$K$104</f>
        <v>18.555833333333332</v>
      </c>
      <c r="M194" s="151" t="s">
        <v>602</v>
      </c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</row>
    <row r="195" spans="1:39">
      <c r="A195" s="83">
        <v>193</v>
      </c>
      <c r="B195" s="83" t="s">
        <v>773</v>
      </c>
      <c r="C195" s="124">
        <v>1</v>
      </c>
      <c r="D195" s="87" t="s">
        <v>218</v>
      </c>
      <c r="H195" s="150" t="s">
        <v>617</v>
      </c>
      <c r="I195" s="150" t="s">
        <v>611</v>
      </c>
      <c r="J195" s="167" t="s">
        <v>589</v>
      </c>
      <c r="K195" s="195"/>
      <c r="L195" s="158">
        <f>($AF$35/2)/1.2+$N$101+$N$104</f>
        <v>13.738333333333333</v>
      </c>
      <c r="M195" s="151" t="s">
        <v>602</v>
      </c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</row>
    <row r="196" spans="1:39">
      <c r="A196" s="83">
        <v>194</v>
      </c>
      <c r="B196" s="83" t="s">
        <v>719</v>
      </c>
      <c r="C196" s="124">
        <v>3</v>
      </c>
      <c r="D196" s="87" t="s">
        <v>219</v>
      </c>
      <c r="H196" s="150" t="s">
        <v>618</v>
      </c>
      <c r="I196" s="150" t="s">
        <v>609</v>
      </c>
      <c r="J196" s="167" t="s">
        <v>605</v>
      </c>
      <c r="K196" s="195"/>
      <c r="L196" s="158">
        <f>($AF$33/2)/1.2+$L$101+$L$104</f>
        <v>15.215833333333334</v>
      </c>
      <c r="M196" s="151" t="s">
        <v>602</v>
      </c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</row>
    <row r="197" spans="1:39">
      <c r="A197" s="83">
        <v>195</v>
      </c>
      <c r="B197" s="83" t="s">
        <v>220</v>
      </c>
      <c r="C197" s="124">
        <v>1</v>
      </c>
      <c r="D197" s="87" t="s">
        <v>221</v>
      </c>
      <c r="H197" s="150" t="s">
        <v>619</v>
      </c>
      <c r="I197" s="150" t="s">
        <v>611</v>
      </c>
      <c r="J197" s="167" t="s">
        <v>605</v>
      </c>
      <c r="K197" s="195"/>
      <c r="L197" s="158">
        <f>($AF$36/2)/1.2+$O$101+$O$104</f>
        <v>10.578333333333333</v>
      </c>
      <c r="M197" s="151" t="s">
        <v>602</v>
      </c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</row>
    <row r="198" spans="1:39">
      <c r="A198" s="83">
        <v>196</v>
      </c>
      <c r="B198" s="83" t="s">
        <v>872</v>
      </c>
      <c r="C198" s="124">
        <v>1</v>
      </c>
      <c r="D198" s="87" t="s">
        <v>222</v>
      </c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</row>
    <row r="199" spans="1:39">
      <c r="A199" s="83">
        <v>197</v>
      </c>
      <c r="B199" s="83" t="s">
        <v>671</v>
      </c>
      <c r="C199" s="124">
        <v>1</v>
      </c>
      <c r="D199" s="87" t="s">
        <v>1131</v>
      </c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</row>
    <row r="200" spans="1:39">
      <c r="A200" s="83">
        <v>198</v>
      </c>
      <c r="B200" s="83" t="s">
        <v>720</v>
      </c>
      <c r="C200" s="124">
        <v>1</v>
      </c>
      <c r="D200" s="87" t="s">
        <v>223</v>
      </c>
      <c r="E200" s="377" t="s">
        <v>534</v>
      </c>
      <c r="F200" s="377"/>
      <c r="G200" s="377"/>
      <c r="H200" s="150" t="s">
        <v>616</v>
      </c>
      <c r="I200" s="150" t="s">
        <v>609</v>
      </c>
      <c r="J200" s="167" t="s">
        <v>589</v>
      </c>
      <c r="K200" s="195"/>
      <c r="L200" s="158">
        <f>($AF$32/2)/1.2+$K$107+$K$110</f>
        <v>19.115833333333335</v>
      </c>
      <c r="M200" s="151" t="s">
        <v>602</v>
      </c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</row>
    <row r="201" spans="1:39">
      <c r="A201" s="83">
        <v>199</v>
      </c>
      <c r="B201" s="83" t="s">
        <v>943</v>
      </c>
      <c r="C201" s="124">
        <v>1</v>
      </c>
      <c r="D201" s="87" t="s">
        <v>224</v>
      </c>
      <c r="H201" s="150" t="s">
        <v>617</v>
      </c>
      <c r="I201" s="150" t="s">
        <v>611</v>
      </c>
      <c r="J201" s="167" t="s">
        <v>589</v>
      </c>
      <c r="K201" s="195"/>
      <c r="L201" s="158">
        <f>($AF$35/2)/1.2+$N$107+$N$110</f>
        <v>14.138333333333334</v>
      </c>
      <c r="M201" s="151" t="s">
        <v>602</v>
      </c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</row>
    <row r="202" spans="1:39">
      <c r="A202" s="83">
        <v>200</v>
      </c>
      <c r="B202" s="83" t="s">
        <v>764</v>
      </c>
      <c r="C202" s="124">
        <v>4</v>
      </c>
      <c r="D202" s="87" t="s">
        <v>225</v>
      </c>
      <c r="H202" s="150" t="s">
        <v>618</v>
      </c>
      <c r="I202" s="150" t="s">
        <v>609</v>
      </c>
      <c r="J202" s="167" t="s">
        <v>605</v>
      </c>
      <c r="K202" s="195"/>
      <c r="L202" s="158">
        <f>($AF$33/2)/1.2+$L$107+$L$110</f>
        <v>15.675833333333333</v>
      </c>
      <c r="M202" s="151" t="s">
        <v>602</v>
      </c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</row>
    <row r="203" spans="1:39">
      <c r="A203" s="83">
        <v>201</v>
      </c>
      <c r="B203" s="83" t="s">
        <v>649</v>
      </c>
      <c r="C203" s="124">
        <v>3</v>
      </c>
      <c r="D203" s="87" t="s">
        <v>1107</v>
      </c>
      <c r="H203" s="150" t="s">
        <v>619</v>
      </c>
      <c r="I203" s="150" t="s">
        <v>611</v>
      </c>
      <c r="J203" s="167" t="s">
        <v>605</v>
      </c>
      <c r="K203" s="195"/>
      <c r="L203" s="158">
        <f>($AF$36/2)/1.2+$O$107+$O$110</f>
        <v>10.888333333333335</v>
      </c>
      <c r="M203" s="151" t="s">
        <v>602</v>
      </c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</row>
    <row r="204" spans="1:39">
      <c r="A204" s="83">
        <v>202</v>
      </c>
      <c r="B204" s="83" t="s">
        <v>703</v>
      </c>
      <c r="C204" s="124">
        <v>1</v>
      </c>
      <c r="D204" s="87" t="s">
        <v>1177</v>
      </c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</row>
    <row r="205" spans="1:39">
      <c r="A205" s="83">
        <v>203</v>
      </c>
      <c r="B205" s="83" t="s">
        <v>721</v>
      </c>
      <c r="C205" s="124">
        <v>1</v>
      </c>
      <c r="D205" s="87" t="s">
        <v>226</v>
      </c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</row>
    <row r="206" spans="1:39">
      <c r="A206" s="83">
        <v>204</v>
      </c>
      <c r="B206" s="83" t="s">
        <v>100</v>
      </c>
      <c r="C206" s="124">
        <v>1</v>
      </c>
      <c r="D206" s="87" t="s">
        <v>101</v>
      </c>
      <c r="E206" s="377" t="s">
        <v>1058</v>
      </c>
      <c r="F206" s="377"/>
      <c r="G206" s="377"/>
      <c r="H206" s="150" t="s">
        <v>620</v>
      </c>
      <c r="I206" s="150" t="s">
        <v>621</v>
      </c>
      <c r="J206" s="151"/>
      <c r="K206" s="195"/>
      <c r="L206" s="158">
        <f>$AF$38+($R$78*$AF$38)</f>
        <v>11.172400000000001</v>
      </c>
      <c r="M206" s="151" t="s">
        <v>622</v>
      </c>
      <c r="N206" s="166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</row>
    <row r="207" spans="1:39">
      <c r="A207" s="83">
        <v>205</v>
      </c>
      <c r="B207" s="83" t="s">
        <v>873</v>
      </c>
      <c r="C207" s="124">
        <v>3</v>
      </c>
      <c r="D207" s="87" t="s">
        <v>227</v>
      </c>
      <c r="H207" s="150" t="s">
        <v>623</v>
      </c>
      <c r="I207" s="150" t="s">
        <v>624</v>
      </c>
      <c r="J207" s="151"/>
      <c r="K207" s="195"/>
      <c r="L207" s="158">
        <f>$AF$39+($R$78*$AF$39)</f>
        <v>8.893399999999998</v>
      </c>
      <c r="M207" s="151" t="s">
        <v>622</v>
      </c>
      <c r="N207" s="166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</row>
    <row r="208" spans="1:39">
      <c r="A208" s="83">
        <v>206</v>
      </c>
      <c r="B208" s="83" t="s">
        <v>977</v>
      </c>
      <c r="C208" s="124">
        <v>1</v>
      </c>
      <c r="D208" s="87" t="s">
        <v>228</v>
      </c>
      <c r="H208" s="150" t="s">
        <v>625</v>
      </c>
      <c r="I208" s="150" t="s">
        <v>626</v>
      </c>
      <c r="J208" s="195" t="s">
        <v>627</v>
      </c>
      <c r="K208" s="195"/>
      <c r="L208" s="158">
        <f>(+$L$209*100)/2</f>
        <v>100.03087500000001</v>
      </c>
      <c r="M208" s="151" t="s">
        <v>1073</v>
      </c>
      <c r="N208" s="166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</row>
    <row r="209" spans="1:39">
      <c r="A209" s="83">
        <v>207</v>
      </c>
      <c r="B209" s="83" t="s">
        <v>650</v>
      </c>
      <c r="C209" s="124">
        <v>1</v>
      </c>
      <c r="D209" s="87" t="s">
        <v>1108</v>
      </c>
      <c r="H209" s="150" t="s">
        <v>628</v>
      </c>
      <c r="I209" s="150" t="s">
        <v>629</v>
      </c>
      <c r="J209" s="195" t="s">
        <v>1077</v>
      </c>
      <c r="K209" s="195"/>
      <c r="L209" s="158">
        <f>(+$AF$40+$AF$41)+(($AF$40+$AF$41)*$R$74)</f>
        <v>2.0006175000000002</v>
      </c>
      <c r="M209" s="151" t="s">
        <v>602</v>
      </c>
      <c r="N209" s="150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</row>
    <row r="210" spans="1:39">
      <c r="A210" s="83">
        <v>208</v>
      </c>
      <c r="B210" s="83" t="s">
        <v>810</v>
      </c>
      <c r="C210" s="124">
        <v>5</v>
      </c>
      <c r="D210" s="87" t="s">
        <v>229</v>
      </c>
      <c r="H210" s="150"/>
      <c r="I210" s="150"/>
      <c r="J210" s="150"/>
      <c r="K210" s="195"/>
      <c r="L210" s="151"/>
      <c r="M210" s="151"/>
      <c r="N210" s="150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</row>
    <row r="211" spans="1:39">
      <c r="A211" s="83">
        <v>209</v>
      </c>
      <c r="B211" s="83" t="s">
        <v>978</v>
      </c>
      <c r="C211" s="124">
        <v>1</v>
      </c>
      <c r="D211" s="87" t="s">
        <v>230</v>
      </c>
      <c r="H211" s="150"/>
      <c r="I211" s="150"/>
      <c r="J211" s="151"/>
      <c r="K211" s="195"/>
      <c r="L211" s="151"/>
      <c r="M211" s="151"/>
      <c r="N211" s="166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</row>
    <row r="212" spans="1:39">
      <c r="A212" s="83">
        <v>210</v>
      </c>
      <c r="B212" s="83" t="s">
        <v>65</v>
      </c>
      <c r="C212" s="124">
        <v>1</v>
      </c>
      <c r="D212" s="87" t="s">
        <v>231</v>
      </c>
      <c r="H212" s="150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</row>
    <row r="213" spans="1:39">
      <c r="A213" s="83">
        <v>211</v>
      </c>
      <c r="B213" s="83" t="s">
        <v>651</v>
      </c>
      <c r="C213" s="124">
        <v>1</v>
      </c>
      <c r="D213" s="87" t="s">
        <v>1109</v>
      </c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</row>
    <row r="214" spans="1:39">
      <c r="A214" s="83">
        <v>212</v>
      </c>
      <c r="B214" s="83" t="s">
        <v>691</v>
      </c>
      <c r="C214" s="124">
        <v>1</v>
      </c>
      <c r="D214" s="87" t="s">
        <v>1091</v>
      </c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</row>
    <row r="215" spans="1:39">
      <c r="A215" s="83">
        <v>213</v>
      </c>
      <c r="B215" s="83" t="s">
        <v>904</v>
      </c>
      <c r="C215" s="124">
        <v>1</v>
      </c>
      <c r="D215" s="87" t="s">
        <v>232</v>
      </c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</row>
    <row r="216" spans="1:39">
      <c r="A216" s="83">
        <v>214</v>
      </c>
      <c r="B216" s="83" t="s">
        <v>482</v>
      </c>
      <c r="C216" s="124">
        <v>5</v>
      </c>
      <c r="D216" s="87" t="s">
        <v>315</v>
      </c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</row>
    <row r="217" spans="1:39">
      <c r="A217" s="83">
        <v>215</v>
      </c>
      <c r="B217" s="83" t="s">
        <v>1001</v>
      </c>
      <c r="C217" s="124">
        <v>1</v>
      </c>
      <c r="D217" s="87" t="s">
        <v>1092</v>
      </c>
    </row>
    <row r="218" spans="1:39">
      <c r="A218" s="83">
        <v>216</v>
      </c>
      <c r="B218" s="83" t="s">
        <v>944</v>
      </c>
      <c r="C218" s="124">
        <v>1</v>
      </c>
      <c r="D218" s="87" t="s">
        <v>233</v>
      </c>
    </row>
    <row r="219" spans="1:39">
      <c r="A219" s="83">
        <v>217</v>
      </c>
      <c r="B219" s="83" t="s">
        <v>945</v>
      </c>
      <c r="C219" s="124">
        <v>1</v>
      </c>
      <c r="D219" s="87" t="s">
        <v>234</v>
      </c>
    </row>
    <row r="220" spans="1:39">
      <c r="A220" s="83">
        <v>218</v>
      </c>
      <c r="B220" s="83" t="s">
        <v>508</v>
      </c>
      <c r="C220" s="124">
        <v>5</v>
      </c>
      <c r="D220" s="87" t="s">
        <v>1224</v>
      </c>
    </row>
    <row r="221" spans="1:39">
      <c r="A221" s="83">
        <v>219</v>
      </c>
      <c r="B221" s="83" t="s">
        <v>845</v>
      </c>
      <c r="C221" s="124">
        <v>1</v>
      </c>
      <c r="D221" s="87" t="s">
        <v>79</v>
      </c>
    </row>
    <row r="222" spans="1:39">
      <c r="A222" s="83">
        <v>220</v>
      </c>
      <c r="B222" s="83" t="s">
        <v>765</v>
      </c>
      <c r="C222" s="124">
        <v>2</v>
      </c>
      <c r="D222" s="87" t="s">
        <v>235</v>
      </c>
    </row>
    <row r="223" spans="1:39">
      <c r="A223" s="83">
        <v>221</v>
      </c>
      <c r="B223" s="83" t="s">
        <v>979</v>
      </c>
      <c r="C223" s="124">
        <v>1</v>
      </c>
      <c r="D223" s="87" t="s">
        <v>236</v>
      </c>
    </row>
    <row r="224" spans="1:39">
      <c r="A224" s="83">
        <v>222</v>
      </c>
      <c r="B224" s="83" t="s">
        <v>811</v>
      </c>
      <c r="C224" s="124">
        <v>1</v>
      </c>
      <c r="D224" s="87" t="s">
        <v>237</v>
      </c>
    </row>
    <row r="225" spans="1:14">
      <c r="A225" s="83">
        <v>223</v>
      </c>
      <c r="B225" s="83" t="s">
        <v>812</v>
      </c>
      <c r="C225" s="124">
        <v>1</v>
      </c>
      <c r="D225" s="87" t="s">
        <v>238</v>
      </c>
    </row>
    <row r="226" spans="1:14">
      <c r="A226" s="83">
        <v>224</v>
      </c>
      <c r="B226" s="83" t="s">
        <v>286</v>
      </c>
      <c r="C226" s="124">
        <v>1</v>
      </c>
      <c r="D226" s="87" t="s">
        <v>1212</v>
      </c>
    </row>
    <row r="227" spans="1:14">
      <c r="A227" s="83">
        <v>225</v>
      </c>
      <c r="B227" s="83" t="s">
        <v>980</v>
      </c>
      <c r="C227" s="124">
        <v>1</v>
      </c>
      <c r="D227" s="87" t="s">
        <v>239</v>
      </c>
    </row>
    <row r="228" spans="1:14">
      <c r="A228" s="83">
        <v>226</v>
      </c>
      <c r="B228" s="83" t="s">
        <v>722</v>
      </c>
      <c r="C228" s="124">
        <v>2</v>
      </c>
      <c r="D228" s="87" t="s">
        <v>240</v>
      </c>
    </row>
    <row r="229" spans="1:14">
      <c r="A229" s="83">
        <v>227</v>
      </c>
      <c r="B229" s="83" t="s">
        <v>766</v>
      </c>
      <c r="C229" s="124">
        <v>1</v>
      </c>
      <c r="D229" s="87" t="s">
        <v>241</v>
      </c>
    </row>
    <row r="230" spans="1:14">
      <c r="A230" s="83">
        <v>228</v>
      </c>
      <c r="B230" s="83" t="s">
        <v>874</v>
      </c>
      <c r="C230" s="124">
        <v>3</v>
      </c>
      <c r="D230" s="87" t="s">
        <v>242</v>
      </c>
    </row>
    <row r="231" spans="1:14">
      <c r="A231" s="83">
        <v>229</v>
      </c>
      <c r="B231" s="83" t="s">
        <v>740</v>
      </c>
      <c r="C231" s="124">
        <v>1</v>
      </c>
      <c r="D231" s="87" t="s">
        <v>243</v>
      </c>
      <c r="N231" s="166"/>
    </row>
    <row r="232" spans="1:14">
      <c r="A232" s="83">
        <v>230</v>
      </c>
      <c r="B232" s="83" t="s">
        <v>741</v>
      </c>
      <c r="C232" s="124">
        <v>1</v>
      </c>
      <c r="D232" s="87" t="s">
        <v>244</v>
      </c>
      <c r="N232" s="166"/>
    </row>
    <row r="233" spans="1:14">
      <c r="A233" s="83">
        <v>231</v>
      </c>
      <c r="B233" s="101" t="s">
        <v>1221</v>
      </c>
      <c r="C233" s="124">
        <v>2</v>
      </c>
      <c r="D233" s="87" t="s">
        <v>1222</v>
      </c>
      <c r="N233" s="166"/>
    </row>
    <row r="234" spans="1:14">
      <c r="A234" s="83">
        <v>232</v>
      </c>
      <c r="B234" s="83" t="s">
        <v>905</v>
      </c>
      <c r="C234" s="124">
        <v>1</v>
      </c>
      <c r="D234" s="87" t="s">
        <v>245</v>
      </c>
      <c r="N234" s="150"/>
    </row>
    <row r="235" spans="1:14">
      <c r="A235" s="83">
        <v>233</v>
      </c>
      <c r="B235" s="83" t="s">
        <v>692</v>
      </c>
      <c r="C235" s="124">
        <v>1</v>
      </c>
      <c r="D235" s="87" t="s">
        <v>1094</v>
      </c>
      <c r="N235" s="150"/>
    </row>
    <row r="236" spans="1:14">
      <c r="A236" s="83">
        <v>234</v>
      </c>
      <c r="B236" s="83" t="s">
        <v>995</v>
      </c>
      <c r="C236" s="124">
        <v>1</v>
      </c>
      <c r="D236" s="87" t="s">
        <v>1188</v>
      </c>
      <c r="N236" s="166"/>
    </row>
    <row r="237" spans="1:14">
      <c r="A237" s="83">
        <v>235</v>
      </c>
      <c r="B237" s="83" t="s">
        <v>875</v>
      </c>
      <c r="C237" s="124">
        <v>1</v>
      </c>
      <c r="D237" s="87" t="s">
        <v>246</v>
      </c>
    </row>
    <row r="238" spans="1:14">
      <c r="A238" s="83">
        <v>236</v>
      </c>
      <c r="B238" s="83" t="s">
        <v>876</v>
      </c>
      <c r="C238" s="124">
        <v>1</v>
      </c>
      <c r="D238" s="87" t="s">
        <v>247</v>
      </c>
    </row>
    <row r="239" spans="1:14">
      <c r="A239" s="83">
        <v>237</v>
      </c>
      <c r="B239" s="83" t="s">
        <v>1010</v>
      </c>
      <c r="C239" s="124">
        <v>1</v>
      </c>
      <c r="D239" s="87" t="s">
        <v>248</v>
      </c>
    </row>
    <row r="240" spans="1:14">
      <c r="A240" s="83">
        <v>238</v>
      </c>
      <c r="B240" s="83" t="s">
        <v>742</v>
      </c>
      <c r="C240" s="124">
        <v>1</v>
      </c>
      <c r="D240" s="87" t="s">
        <v>644</v>
      </c>
    </row>
    <row r="241" spans="1:4">
      <c r="A241" s="83">
        <v>239</v>
      </c>
      <c r="B241" s="83" t="s">
        <v>981</v>
      </c>
      <c r="C241" s="124">
        <v>1</v>
      </c>
      <c r="D241" s="87" t="s">
        <v>249</v>
      </c>
    </row>
    <row r="242" spans="1:4">
      <c r="A242" s="83">
        <v>240</v>
      </c>
      <c r="B242" s="83" t="s">
        <v>877</v>
      </c>
      <c r="C242" s="124">
        <v>1</v>
      </c>
      <c r="D242" s="87" t="s">
        <v>250</v>
      </c>
    </row>
    <row r="243" spans="1:4">
      <c r="A243" s="83">
        <v>241</v>
      </c>
      <c r="B243" s="83" t="s">
        <v>946</v>
      </c>
      <c r="C243" s="124">
        <v>1</v>
      </c>
      <c r="D243" s="87" t="s">
        <v>251</v>
      </c>
    </row>
    <row r="244" spans="1:4">
      <c r="A244" s="83">
        <v>242</v>
      </c>
      <c r="B244" s="83" t="s">
        <v>947</v>
      </c>
      <c r="C244" s="124">
        <v>1</v>
      </c>
      <c r="D244" s="87" t="s">
        <v>252</v>
      </c>
    </row>
    <row r="245" spans="1:4">
      <c r="A245" s="83">
        <v>243</v>
      </c>
      <c r="B245" s="83" t="s">
        <v>852</v>
      </c>
      <c r="C245" s="124">
        <v>1</v>
      </c>
      <c r="D245" s="87" t="s">
        <v>1117</v>
      </c>
    </row>
    <row r="246" spans="1:4">
      <c r="A246" s="83">
        <v>244</v>
      </c>
      <c r="B246" s="83" t="s">
        <v>743</v>
      </c>
      <c r="C246" s="124">
        <v>1</v>
      </c>
      <c r="D246" s="87" t="s">
        <v>253</v>
      </c>
    </row>
    <row r="247" spans="1:4">
      <c r="A247" s="83">
        <v>245</v>
      </c>
      <c r="B247" s="83" t="s">
        <v>704</v>
      </c>
      <c r="C247" s="124">
        <v>1</v>
      </c>
      <c r="D247" s="87" t="s">
        <v>1178</v>
      </c>
    </row>
    <row r="248" spans="1:4">
      <c r="A248" s="83">
        <v>246</v>
      </c>
      <c r="B248" s="83" t="s">
        <v>705</v>
      </c>
      <c r="C248" s="124">
        <v>1</v>
      </c>
      <c r="D248" s="87" t="s">
        <v>1179</v>
      </c>
    </row>
    <row r="249" spans="1:4">
      <c r="A249" s="83">
        <v>247</v>
      </c>
      <c r="B249" s="83" t="s">
        <v>706</v>
      </c>
      <c r="C249" s="124">
        <v>1</v>
      </c>
      <c r="D249" s="87" t="s">
        <v>1180</v>
      </c>
    </row>
    <row r="250" spans="1:4">
      <c r="A250" s="83">
        <v>248</v>
      </c>
      <c r="B250" s="83" t="s">
        <v>982</v>
      </c>
      <c r="C250" s="124">
        <v>1</v>
      </c>
      <c r="D250" s="87" t="s">
        <v>254</v>
      </c>
    </row>
    <row r="251" spans="1:4">
      <c r="A251" s="83">
        <v>249</v>
      </c>
      <c r="B251" s="83" t="s">
        <v>491</v>
      </c>
      <c r="C251" s="124">
        <v>1</v>
      </c>
      <c r="D251" s="87" t="s">
        <v>492</v>
      </c>
    </row>
    <row r="252" spans="1:4">
      <c r="A252" s="83">
        <v>250</v>
      </c>
      <c r="B252" s="83" t="s">
        <v>948</v>
      </c>
      <c r="C252" s="124">
        <v>1</v>
      </c>
      <c r="D252" s="87" t="s">
        <v>255</v>
      </c>
    </row>
    <row r="253" spans="1:4">
      <c r="A253" s="83">
        <v>251</v>
      </c>
      <c r="B253" s="83" t="s">
        <v>60</v>
      </c>
      <c r="C253" s="124">
        <v>1</v>
      </c>
      <c r="D253" s="87" t="s">
        <v>1160</v>
      </c>
    </row>
    <row r="254" spans="1:4">
      <c r="A254" s="83">
        <v>252</v>
      </c>
      <c r="B254" s="83" t="s">
        <v>813</v>
      </c>
      <c r="C254" s="124">
        <v>4</v>
      </c>
      <c r="D254" s="87" t="s">
        <v>256</v>
      </c>
    </row>
    <row r="255" spans="1:4">
      <c r="A255" s="83">
        <v>253</v>
      </c>
      <c r="B255" s="83" t="s">
        <v>814</v>
      </c>
      <c r="C255" s="124">
        <v>3</v>
      </c>
      <c r="D255" s="87" t="s">
        <v>257</v>
      </c>
    </row>
    <row r="256" spans="1:4">
      <c r="A256" s="83">
        <v>254</v>
      </c>
      <c r="B256" s="83" t="s">
        <v>672</v>
      </c>
      <c r="C256" s="124">
        <v>1</v>
      </c>
      <c r="D256" s="87" t="s">
        <v>1161</v>
      </c>
    </row>
    <row r="257" spans="1:4">
      <c r="A257" s="83">
        <v>255</v>
      </c>
      <c r="B257" s="83" t="s">
        <v>949</v>
      </c>
      <c r="C257" s="124">
        <v>1</v>
      </c>
      <c r="D257" s="87" t="s">
        <v>258</v>
      </c>
    </row>
    <row r="258" spans="1:4">
      <c r="A258" s="83">
        <v>256</v>
      </c>
      <c r="B258" s="83" t="s">
        <v>878</v>
      </c>
      <c r="C258" s="124">
        <v>1</v>
      </c>
      <c r="D258" s="87" t="s">
        <v>259</v>
      </c>
    </row>
    <row r="259" spans="1:4">
      <c r="A259" s="83">
        <v>257</v>
      </c>
      <c r="B259" s="83" t="s">
        <v>642</v>
      </c>
      <c r="C259" s="124">
        <v>1</v>
      </c>
      <c r="D259" s="87" t="s">
        <v>643</v>
      </c>
    </row>
    <row r="260" spans="1:4">
      <c r="A260" s="83">
        <v>258</v>
      </c>
      <c r="B260" s="83" t="s">
        <v>815</v>
      </c>
      <c r="C260" s="124">
        <v>5</v>
      </c>
      <c r="D260" s="87" t="s">
        <v>260</v>
      </c>
    </row>
    <row r="261" spans="1:4">
      <c r="A261" s="83">
        <v>259</v>
      </c>
      <c r="B261" s="83" t="s">
        <v>767</v>
      </c>
      <c r="C261" s="124">
        <v>5</v>
      </c>
      <c r="D261" s="87" t="s">
        <v>261</v>
      </c>
    </row>
    <row r="262" spans="1:4">
      <c r="A262" s="83">
        <v>260</v>
      </c>
      <c r="B262" s="83" t="s">
        <v>744</v>
      </c>
      <c r="C262" s="124">
        <v>1</v>
      </c>
      <c r="D262" s="87" t="s">
        <v>262</v>
      </c>
    </row>
    <row r="263" spans="1:4">
      <c r="A263" s="83">
        <v>261</v>
      </c>
      <c r="B263" s="83" t="s">
        <v>1022</v>
      </c>
      <c r="C263" s="124">
        <v>5</v>
      </c>
      <c r="D263" s="87" t="s">
        <v>263</v>
      </c>
    </row>
    <row r="264" spans="1:4">
      <c r="A264" s="83">
        <v>262</v>
      </c>
      <c r="B264" s="83" t="s">
        <v>502</v>
      </c>
      <c r="C264" s="124">
        <v>1</v>
      </c>
      <c r="D264" s="87" t="s">
        <v>503</v>
      </c>
    </row>
    <row r="265" spans="1:4">
      <c r="A265" s="83">
        <v>263</v>
      </c>
      <c r="B265" s="83" t="s">
        <v>652</v>
      </c>
      <c r="C265" s="124">
        <v>1</v>
      </c>
      <c r="D265" s="87" t="s">
        <v>1110</v>
      </c>
    </row>
    <row r="266" spans="1:4">
      <c r="A266" s="83">
        <v>264</v>
      </c>
      <c r="B266" s="83" t="s">
        <v>879</v>
      </c>
      <c r="C266" s="124">
        <v>5</v>
      </c>
      <c r="D266" s="87" t="s">
        <v>264</v>
      </c>
    </row>
    <row r="267" spans="1:4">
      <c r="A267" s="83">
        <v>265</v>
      </c>
      <c r="B267" s="83" t="s">
        <v>816</v>
      </c>
      <c r="C267" s="124">
        <v>3</v>
      </c>
      <c r="D267" s="87" t="s">
        <v>265</v>
      </c>
    </row>
    <row r="268" spans="1:4">
      <c r="A268" s="83">
        <v>266</v>
      </c>
      <c r="B268" s="83" t="s">
        <v>745</v>
      </c>
      <c r="C268" s="124">
        <v>1</v>
      </c>
      <c r="D268" s="87" t="s">
        <v>266</v>
      </c>
    </row>
    <row r="269" spans="1:4">
      <c r="A269" s="83">
        <v>267</v>
      </c>
      <c r="B269" s="83" t="s">
        <v>707</v>
      </c>
      <c r="C269" s="124">
        <v>1</v>
      </c>
      <c r="D269" s="87" t="s">
        <v>1181</v>
      </c>
    </row>
    <row r="270" spans="1:4">
      <c r="A270" s="83">
        <v>268</v>
      </c>
      <c r="B270" s="83" t="s">
        <v>906</v>
      </c>
      <c r="C270" s="124">
        <v>1</v>
      </c>
      <c r="D270" s="87" t="s">
        <v>271</v>
      </c>
    </row>
    <row r="271" spans="1:4">
      <c r="A271" s="83">
        <v>269</v>
      </c>
      <c r="B271" s="83" t="s">
        <v>746</v>
      </c>
      <c r="C271" s="124">
        <v>1</v>
      </c>
      <c r="D271" s="87" t="s">
        <v>272</v>
      </c>
    </row>
    <row r="272" spans="1:4">
      <c r="A272" s="83">
        <v>270</v>
      </c>
      <c r="B272" s="83" t="s">
        <v>768</v>
      </c>
      <c r="C272" s="124">
        <v>1</v>
      </c>
      <c r="D272" s="87" t="s">
        <v>273</v>
      </c>
    </row>
    <row r="273" spans="1:4">
      <c r="A273" s="83">
        <v>271</v>
      </c>
      <c r="B273" s="83" t="s">
        <v>950</v>
      </c>
      <c r="C273" s="124">
        <v>1</v>
      </c>
      <c r="D273" s="87" t="s">
        <v>274</v>
      </c>
    </row>
    <row r="274" spans="1:4">
      <c r="A274" s="83">
        <v>272</v>
      </c>
      <c r="B274" s="83" t="s">
        <v>747</v>
      </c>
      <c r="C274" s="124">
        <v>1</v>
      </c>
      <c r="D274" s="87" t="s">
        <v>8</v>
      </c>
    </row>
    <row r="275" spans="1:4">
      <c r="A275" s="83">
        <v>273</v>
      </c>
      <c r="B275" s="83" t="s">
        <v>769</v>
      </c>
      <c r="C275" s="124">
        <v>1</v>
      </c>
      <c r="D275" s="87" t="s">
        <v>275</v>
      </c>
    </row>
    <row r="276" spans="1:4">
      <c r="A276" s="83">
        <v>274</v>
      </c>
      <c r="B276" s="83" t="s">
        <v>880</v>
      </c>
      <c r="C276" s="124">
        <v>5</v>
      </c>
      <c r="D276" s="87" t="s">
        <v>276</v>
      </c>
    </row>
    <row r="277" spans="1:4">
      <c r="A277" s="83">
        <v>275</v>
      </c>
      <c r="B277" s="83" t="s">
        <v>748</v>
      </c>
      <c r="C277" s="124">
        <v>1</v>
      </c>
      <c r="D277" s="87" t="s">
        <v>277</v>
      </c>
    </row>
    <row r="278" spans="1:4">
      <c r="A278" s="83">
        <v>276</v>
      </c>
      <c r="B278" s="83" t="s">
        <v>485</v>
      </c>
      <c r="C278" s="124">
        <v>1</v>
      </c>
      <c r="D278" s="87" t="s">
        <v>486</v>
      </c>
    </row>
    <row r="279" spans="1:4">
      <c r="A279" s="83">
        <v>277</v>
      </c>
      <c r="B279" s="83" t="s">
        <v>881</v>
      </c>
      <c r="C279" s="124">
        <v>1</v>
      </c>
      <c r="D279" s="87" t="s">
        <v>278</v>
      </c>
    </row>
    <row r="280" spans="1:4">
      <c r="A280" s="83">
        <v>278</v>
      </c>
      <c r="B280" s="83" t="s">
        <v>983</v>
      </c>
      <c r="C280" s="124">
        <v>1</v>
      </c>
      <c r="D280" s="87" t="s">
        <v>279</v>
      </c>
    </row>
    <row r="281" spans="1:4">
      <c r="A281" s="83">
        <v>279</v>
      </c>
      <c r="B281" s="83" t="s">
        <v>984</v>
      </c>
      <c r="C281" s="124">
        <v>1</v>
      </c>
      <c r="D281" s="87" t="s">
        <v>280</v>
      </c>
    </row>
    <row r="282" spans="1:4">
      <c r="A282" s="83">
        <v>280</v>
      </c>
      <c r="B282" s="83" t="s">
        <v>951</v>
      </c>
      <c r="C282" s="124">
        <v>1</v>
      </c>
      <c r="D282" s="87" t="s">
        <v>281</v>
      </c>
    </row>
    <row r="283" spans="1:4">
      <c r="A283" s="83">
        <v>281</v>
      </c>
      <c r="B283" s="83" t="s">
        <v>882</v>
      </c>
      <c r="C283" s="124">
        <v>1</v>
      </c>
      <c r="D283" s="87" t="s">
        <v>282</v>
      </c>
    </row>
    <row r="284" spans="1:4">
      <c r="A284" s="83">
        <v>282</v>
      </c>
      <c r="B284" s="83" t="s">
        <v>749</v>
      </c>
      <c r="C284" s="124">
        <v>1</v>
      </c>
      <c r="D284" s="87" t="s">
        <v>283</v>
      </c>
    </row>
    <row r="285" spans="1:4">
      <c r="A285" s="83">
        <v>283</v>
      </c>
      <c r="B285" s="83" t="s">
        <v>952</v>
      </c>
      <c r="C285" s="124">
        <v>1</v>
      </c>
      <c r="D285" s="87" t="s">
        <v>284</v>
      </c>
    </row>
    <row r="286" spans="1:4">
      <c r="A286" s="83">
        <v>284</v>
      </c>
      <c r="B286" s="83" t="s">
        <v>817</v>
      </c>
      <c r="C286" s="124">
        <v>2</v>
      </c>
      <c r="D286" s="87" t="s">
        <v>287</v>
      </c>
    </row>
    <row r="287" spans="1:4">
      <c r="A287" s="83">
        <v>285</v>
      </c>
      <c r="B287" s="83" t="s">
        <v>750</v>
      </c>
      <c r="C287" s="124">
        <v>1</v>
      </c>
      <c r="D287" s="87" t="s">
        <v>291</v>
      </c>
    </row>
    <row r="288" spans="1:4">
      <c r="A288" s="83">
        <v>286</v>
      </c>
      <c r="B288" s="83" t="s">
        <v>883</v>
      </c>
      <c r="C288" s="124">
        <v>5</v>
      </c>
      <c r="D288" s="87" t="s">
        <v>292</v>
      </c>
    </row>
    <row r="289" spans="1:4">
      <c r="A289" s="83">
        <v>287</v>
      </c>
      <c r="B289" s="83" t="s">
        <v>673</v>
      </c>
      <c r="C289" s="124">
        <v>1</v>
      </c>
      <c r="D289" s="87" t="s">
        <v>293</v>
      </c>
    </row>
    <row r="290" spans="1:4">
      <c r="A290" s="83">
        <v>288</v>
      </c>
      <c r="B290" s="83" t="s">
        <v>953</v>
      </c>
      <c r="C290" s="124">
        <v>1</v>
      </c>
      <c r="D290" s="87" t="s">
        <v>294</v>
      </c>
    </row>
    <row r="291" spans="1:4">
      <c r="A291" s="83">
        <v>289</v>
      </c>
      <c r="B291" s="83" t="s">
        <v>1015</v>
      </c>
      <c r="C291" s="124">
        <v>1</v>
      </c>
      <c r="D291" s="87" t="s">
        <v>295</v>
      </c>
    </row>
    <row r="292" spans="1:4">
      <c r="A292" s="83">
        <v>290</v>
      </c>
      <c r="B292" s="83" t="s">
        <v>907</v>
      </c>
      <c r="C292" s="124">
        <v>1</v>
      </c>
      <c r="D292" s="87" t="s">
        <v>296</v>
      </c>
    </row>
    <row r="293" spans="1:4">
      <c r="A293" s="83">
        <v>291</v>
      </c>
      <c r="B293" s="126" t="s">
        <v>1213</v>
      </c>
      <c r="C293" s="124">
        <v>1</v>
      </c>
      <c r="D293" s="87" t="s">
        <v>1214</v>
      </c>
    </row>
    <row r="294" spans="1:4">
      <c r="A294" s="83">
        <v>292</v>
      </c>
      <c r="B294" s="227" t="s">
        <v>1215</v>
      </c>
      <c r="C294" s="124">
        <v>1</v>
      </c>
      <c r="D294" s="87" t="s">
        <v>187</v>
      </c>
    </row>
    <row r="295" spans="1:4">
      <c r="A295" s="83">
        <v>293</v>
      </c>
      <c r="B295" s="83" t="s">
        <v>985</v>
      </c>
      <c r="C295" s="124">
        <v>1</v>
      </c>
      <c r="D295" s="87" t="s">
        <v>297</v>
      </c>
    </row>
    <row r="296" spans="1:4">
      <c r="A296" s="83">
        <v>294</v>
      </c>
      <c r="B296" s="83" t="s">
        <v>954</v>
      </c>
      <c r="C296" s="124">
        <v>1</v>
      </c>
      <c r="D296" s="87" t="s">
        <v>298</v>
      </c>
    </row>
    <row r="297" spans="1:4">
      <c r="A297" s="83">
        <v>295</v>
      </c>
      <c r="B297" s="83" t="s">
        <v>955</v>
      </c>
      <c r="C297" s="124">
        <v>1</v>
      </c>
      <c r="D297" s="87" t="s">
        <v>299</v>
      </c>
    </row>
    <row r="298" spans="1:4">
      <c r="A298" s="83">
        <v>296</v>
      </c>
      <c r="B298" s="83" t="s">
        <v>1011</v>
      </c>
      <c r="C298" s="124">
        <v>1</v>
      </c>
      <c r="D298" s="87" t="s">
        <v>610</v>
      </c>
    </row>
    <row r="299" spans="1:4">
      <c r="A299" s="83">
        <v>297</v>
      </c>
      <c r="B299" s="83" t="s">
        <v>61</v>
      </c>
      <c r="C299" s="124">
        <v>1</v>
      </c>
      <c r="D299" s="87" t="s">
        <v>300</v>
      </c>
    </row>
    <row r="300" spans="1:4">
      <c r="A300" s="83">
        <v>298</v>
      </c>
      <c r="B300" s="83" t="s">
        <v>884</v>
      </c>
      <c r="C300" s="124">
        <v>5</v>
      </c>
      <c r="D300" s="87" t="s">
        <v>301</v>
      </c>
    </row>
    <row r="301" spans="1:4">
      <c r="A301" s="83">
        <v>299</v>
      </c>
      <c r="B301" s="83" t="s">
        <v>653</v>
      </c>
      <c r="C301" s="124">
        <v>1</v>
      </c>
      <c r="D301" s="87" t="s">
        <v>1111</v>
      </c>
    </row>
    <row r="302" spans="1:4">
      <c r="A302" s="83">
        <v>300</v>
      </c>
      <c r="B302" s="83" t="s">
        <v>10</v>
      </c>
      <c r="C302" s="124">
        <v>1</v>
      </c>
      <c r="D302" s="87" t="s">
        <v>302</v>
      </c>
    </row>
    <row r="303" spans="1:4">
      <c r="A303" s="83">
        <v>301</v>
      </c>
      <c r="B303" s="83" t="s">
        <v>674</v>
      </c>
      <c r="C303" s="124">
        <v>1</v>
      </c>
      <c r="D303" s="87" t="s">
        <v>303</v>
      </c>
    </row>
    <row r="304" spans="1:4">
      <c r="A304" s="83">
        <v>302</v>
      </c>
      <c r="B304" s="83" t="s">
        <v>774</v>
      </c>
      <c r="C304" s="124">
        <v>1</v>
      </c>
      <c r="D304" s="87" t="s">
        <v>304</v>
      </c>
    </row>
    <row r="305" spans="1:4">
      <c r="A305" s="83">
        <v>303</v>
      </c>
      <c r="B305" s="83" t="s">
        <v>1012</v>
      </c>
      <c r="C305" s="124">
        <v>1</v>
      </c>
      <c r="D305" s="87" t="s">
        <v>305</v>
      </c>
    </row>
    <row r="306" spans="1:4">
      <c r="A306" s="83">
        <v>304</v>
      </c>
      <c r="B306" s="83" t="s">
        <v>1013</v>
      </c>
      <c r="C306" s="124">
        <v>1</v>
      </c>
      <c r="D306" s="87" t="s">
        <v>306</v>
      </c>
    </row>
    <row r="307" spans="1:4">
      <c r="A307" s="83">
        <v>305</v>
      </c>
      <c r="B307" s="83" t="s">
        <v>654</v>
      </c>
      <c r="C307" s="124">
        <v>1</v>
      </c>
      <c r="D307" s="87" t="s">
        <v>1112</v>
      </c>
    </row>
    <row r="308" spans="1:4">
      <c r="A308" s="83">
        <v>306</v>
      </c>
      <c r="B308" s="83" t="s">
        <v>708</v>
      </c>
      <c r="C308" s="124">
        <v>1</v>
      </c>
      <c r="D308" s="87" t="s">
        <v>1182</v>
      </c>
    </row>
    <row r="309" spans="1:4">
      <c r="A309" s="83">
        <v>307</v>
      </c>
      <c r="B309" s="83" t="s">
        <v>818</v>
      </c>
      <c r="C309" s="124">
        <v>4</v>
      </c>
      <c r="D309" s="87" t="s">
        <v>307</v>
      </c>
    </row>
    <row r="310" spans="1:4">
      <c r="A310" s="83">
        <v>308</v>
      </c>
      <c r="B310" s="83" t="s">
        <v>956</v>
      </c>
      <c r="C310" s="124">
        <v>1</v>
      </c>
      <c r="D310" s="87" t="s">
        <v>641</v>
      </c>
    </row>
    <row r="311" spans="1:4">
      <c r="A311" s="83">
        <v>309</v>
      </c>
      <c r="B311" s="83" t="s">
        <v>308</v>
      </c>
      <c r="C311" s="124">
        <v>1</v>
      </c>
      <c r="D311" s="87" t="s">
        <v>1183</v>
      </c>
    </row>
    <row r="312" spans="1:4">
      <c r="A312" s="83">
        <v>310</v>
      </c>
      <c r="B312" s="83" t="s">
        <v>986</v>
      </c>
      <c r="C312" s="124">
        <v>1</v>
      </c>
      <c r="D312" s="87" t="s">
        <v>309</v>
      </c>
    </row>
    <row r="313" spans="1:4">
      <c r="A313" s="83">
        <v>311</v>
      </c>
      <c r="B313" s="83" t="s">
        <v>420</v>
      </c>
      <c r="C313" s="124">
        <v>2</v>
      </c>
      <c r="D313" s="87" t="s">
        <v>421</v>
      </c>
    </row>
    <row r="314" spans="1:4">
      <c r="A314" s="83">
        <v>312</v>
      </c>
      <c r="B314" s="83" t="s">
        <v>885</v>
      </c>
      <c r="C314" s="124">
        <v>4</v>
      </c>
      <c r="D314" s="87" t="s">
        <v>310</v>
      </c>
    </row>
    <row r="315" spans="1:4">
      <c r="A315" s="83">
        <v>313</v>
      </c>
      <c r="B315" s="83" t="s">
        <v>659</v>
      </c>
      <c r="C315" s="124">
        <v>1</v>
      </c>
      <c r="D315" s="87" t="s">
        <v>1162</v>
      </c>
    </row>
    <row r="316" spans="1:4">
      <c r="A316" s="83">
        <v>314</v>
      </c>
      <c r="B316" s="83" t="s">
        <v>655</v>
      </c>
      <c r="C316" s="124">
        <v>3</v>
      </c>
      <c r="D316" s="87" t="s">
        <v>1115</v>
      </c>
    </row>
    <row r="317" spans="1:4">
      <c r="A317" s="83">
        <v>315</v>
      </c>
      <c r="B317" s="83" t="s">
        <v>908</v>
      </c>
      <c r="C317" s="124">
        <v>1</v>
      </c>
      <c r="D317" s="87" t="s">
        <v>312</v>
      </c>
    </row>
    <row r="318" spans="1:4">
      <c r="A318" s="83">
        <v>316</v>
      </c>
      <c r="B318" s="83" t="s">
        <v>675</v>
      </c>
      <c r="C318" s="124">
        <v>1</v>
      </c>
      <c r="D318" s="87" t="s">
        <v>1163</v>
      </c>
    </row>
    <row r="319" spans="1:4">
      <c r="A319" s="83">
        <v>317</v>
      </c>
      <c r="B319" s="83" t="s">
        <v>819</v>
      </c>
      <c r="C319" s="124">
        <v>1</v>
      </c>
      <c r="D319" s="87" t="s">
        <v>313</v>
      </c>
    </row>
    <row r="320" spans="1:4">
      <c r="A320" s="83">
        <v>318</v>
      </c>
      <c r="B320" s="83" t="s">
        <v>497</v>
      </c>
      <c r="C320" s="124">
        <v>1</v>
      </c>
      <c r="D320" s="87" t="s">
        <v>498</v>
      </c>
    </row>
    <row r="321" spans="1:4">
      <c r="A321" s="83">
        <v>319</v>
      </c>
      <c r="B321" s="83" t="s">
        <v>909</v>
      </c>
      <c r="C321" s="124">
        <v>2</v>
      </c>
      <c r="D321" s="87" t="s">
        <v>422</v>
      </c>
    </row>
    <row r="322" spans="1:4">
      <c r="A322" s="83">
        <v>320</v>
      </c>
      <c r="B322" s="83" t="s">
        <v>846</v>
      </c>
      <c r="C322" s="124">
        <v>1</v>
      </c>
      <c r="D322" s="87" t="s">
        <v>849</v>
      </c>
    </row>
    <row r="323" spans="1:4">
      <c r="A323" s="83">
        <v>321</v>
      </c>
      <c r="B323" s="83" t="s">
        <v>847</v>
      </c>
      <c r="C323" s="124">
        <v>1</v>
      </c>
      <c r="D323" s="87" t="s">
        <v>850</v>
      </c>
    </row>
    <row r="324" spans="1:4">
      <c r="A324" s="83">
        <v>322</v>
      </c>
      <c r="B324" s="83" t="s">
        <v>848</v>
      </c>
      <c r="C324" s="124">
        <v>1</v>
      </c>
      <c r="D324" s="87" t="s">
        <v>851</v>
      </c>
    </row>
    <row r="325" spans="1:4">
      <c r="A325" s="83">
        <v>323</v>
      </c>
      <c r="B325" s="83" t="s">
        <v>709</v>
      </c>
      <c r="C325" s="124">
        <v>1</v>
      </c>
      <c r="D325" s="87" t="s">
        <v>1184</v>
      </c>
    </row>
    <row r="326" spans="1:4">
      <c r="A326" s="83">
        <v>324</v>
      </c>
      <c r="B326" s="83" t="s">
        <v>693</v>
      </c>
      <c r="C326" s="124">
        <v>1</v>
      </c>
      <c r="D326" s="87" t="s">
        <v>16</v>
      </c>
    </row>
    <row r="327" spans="1:4">
      <c r="A327" s="83">
        <v>325</v>
      </c>
      <c r="B327" s="83" t="s">
        <v>676</v>
      </c>
      <c r="C327" s="124">
        <v>1</v>
      </c>
      <c r="D327" s="87" t="s">
        <v>316</v>
      </c>
    </row>
    <row r="328" spans="1:4">
      <c r="A328" s="83">
        <v>326</v>
      </c>
      <c r="B328" s="83" t="s">
        <v>957</v>
      </c>
      <c r="C328" s="124">
        <v>1</v>
      </c>
      <c r="D328" s="87" t="s">
        <v>317</v>
      </c>
    </row>
    <row r="329" spans="1:4">
      <c r="A329" s="83">
        <v>327</v>
      </c>
      <c r="B329" s="83" t="s">
        <v>820</v>
      </c>
      <c r="C329" s="124">
        <v>1</v>
      </c>
      <c r="D329" s="87" t="s">
        <v>318</v>
      </c>
    </row>
    <row r="330" spans="1:4">
      <c r="A330" s="83">
        <v>328</v>
      </c>
      <c r="B330" s="83" t="s">
        <v>821</v>
      </c>
      <c r="C330" s="124">
        <v>5</v>
      </c>
      <c r="D330" s="87" t="s">
        <v>319</v>
      </c>
    </row>
    <row r="331" spans="1:4">
      <c r="A331" s="83">
        <v>329</v>
      </c>
      <c r="B331" s="83" t="s">
        <v>996</v>
      </c>
      <c r="C331" s="124">
        <v>1</v>
      </c>
      <c r="D331" s="87" t="s">
        <v>1189</v>
      </c>
    </row>
    <row r="332" spans="1:4">
      <c r="A332" s="83">
        <v>330</v>
      </c>
      <c r="B332" s="83" t="s">
        <v>62</v>
      </c>
      <c r="C332" s="124">
        <v>1</v>
      </c>
      <c r="D332" s="87" t="s">
        <v>320</v>
      </c>
    </row>
    <row r="333" spans="1:4">
      <c r="A333" s="83">
        <v>331</v>
      </c>
      <c r="B333" s="83" t="s">
        <v>493</v>
      </c>
      <c r="C333" s="124">
        <v>1</v>
      </c>
      <c r="D333" s="87" t="s">
        <v>494</v>
      </c>
    </row>
    <row r="334" spans="1:4">
      <c r="A334" s="83">
        <v>332</v>
      </c>
      <c r="B334" s="83" t="s">
        <v>987</v>
      </c>
      <c r="C334" s="124">
        <v>1</v>
      </c>
      <c r="D334" s="87" t="s">
        <v>321</v>
      </c>
    </row>
    <row r="335" spans="1:4">
      <c r="A335" s="83">
        <v>333</v>
      </c>
      <c r="B335" s="83" t="s">
        <v>988</v>
      </c>
      <c r="C335" s="124">
        <v>1</v>
      </c>
      <c r="D335" s="87" t="s">
        <v>322</v>
      </c>
    </row>
    <row r="336" spans="1:4">
      <c r="A336" s="83">
        <v>334</v>
      </c>
      <c r="B336" s="83" t="s">
        <v>958</v>
      </c>
      <c r="C336" s="124">
        <v>1</v>
      </c>
      <c r="D336" s="87" t="s">
        <v>323</v>
      </c>
    </row>
    <row r="337" spans="1:4">
      <c r="A337" s="83">
        <v>335</v>
      </c>
      <c r="B337" s="83" t="s">
        <v>656</v>
      </c>
      <c r="C337" s="124">
        <v>1</v>
      </c>
      <c r="D337" s="87" t="s">
        <v>1116</v>
      </c>
    </row>
    <row r="338" spans="1:4">
      <c r="A338" s="83">
        <v>336</v>
      </c>
      <c r="B338" s="83" t="s">
        <v>786</v>
      </c>
      <c r="C338" s="124">
        <v>1</v>
      </c>
      <c r="D338" s="87" t="s">
        <v>324</v>
      </c>
    </row>
    <row r="339" spans="1:4">
      <c r="A339" s="83">
        <v>337</v>
      </c>
      <c r="B339" s="83" t="s">
        <v>910</v>
      </c>
      <c r="C339" s="124">
        <v>1</v>
      </c>
      <c r="D339" s="87" t="s">
        <v>325</v>
      </c>
    </row>
    <row r="340" spans="1:4">
      <c r="A340" s="83">
        <v>338</v>
      </c>
      <c r="B340" s="83" t="s">
        <v>959</v>
      </c>
      <c r="C340" s="124">
        <v>1</v>
      </c>
      <c r="D340" s="87" t="s">
        <v>326</v>
      </c>
    </row>
    <row r="341" spans="1:4">
      <c r="A341" s="83">
        <v>339</v>
      </c>
      <c r="B341" s="83" t="s">
        <v>960</v>
      </c>
      <c r="C341" s="124">
        <v>1</v>
      </c>
      <c r="D341" s="87" t="s">
        <v>328</v>
      </c>
    </row>
    <row r="342" spans="1:4">
      <c r="A342" s="83">
        <v>340</v>
      </c>
      <c r="B342" s="83" t="s">
        <v>822</v>
      </c>
      <c r="C342" s="124">
        <v>1</v>
      </c>
      <c r="D342" s="87" t="s">
        <v>327</v>
      </c>
    </row>
    <row r="343" spans="1:4">
      <c r="A343" s="83">
        <v>341</v>
      </c>
      <c r="B343" s="83" t="s">
        <v>1016</v>
      </c>
      <c r="C343" s="124">
        <v>1</v>
      </c>
      <c r="D343" s="87" t="s">
        <v>334</v>
      </c>
    </row>
    <row r="344" spans="1:4">
      <c r="A344" s="83">
        <v>342</v>
      </c>
      <c r="B344" s="83" t="s">
        <v>989</v>
      </c>
      <c r="C344" s="124">
        <v>1</v>
      </c>
      <c r="D344" s="87" t="s">
        <v>333</v>
      </c>
    </row>
    <row r="345" spans="1:4">
      <c r="A345" s="83">
        <v>343</v>
      </c>
      <c r="B345" s="83" t="s">
        <v>787</v>
      </c>
      <c r="C345" s="124">
        <v>2</v>
      </c>
      <c r="D345" s="87" t="s">
        <v>335</v>
      </c>
    </row>
    <row r="346" spans="1:4">
      <c r="A346" s="83">
        <v>344</v>
      </c>
      <c r="B346" s="83" t="s">
        <v>506</v>
      </c>
      <c r="C346" s="124">
        <v>5</v>
      </c>
      <c r="D346" s="87" t="s">
        <v>507</v>
      </c>
    </row>
    <row r="347" spans="1:4">
      <c r="A347" s="83">
        <v>345</v>
      </c>
      <c r="B347" s="83" t="s">
        <v>483</v>
      </c>
      <c r="C347" s="124">
        <v>1</v>
      </c>
      <c r="D347" s="87" t="s">
        <v>484</v>
      </c>
    </row>
    <row r="348" spans="1:4">
      <c r="A348" s="83">
        <v>346</v>
      </c>
      <c r="B348" s="83" t="s">
        <v>677</v>
      </c>
      <c r="C348" s="124">
        <v>1</v>
      </c>
      <c r="D348" s="87" t="s">
        <v>1164</v>
      </c>
    </row>
    <row r="349" spans="1:4">
      <c r="A349" s="83">
        <v>347</v>
      </c>
      <c r="B349" s="83" t="s">
        <v>911</v>
      </c>
      <c r="C349" s="124">
        <v>1</v>
      </c>
      <c r="D349" s="87" t="s">
        <v>336</v>
      </c>
    </row>
    <row r="350" spans="1:4">
      <c r="A350" s="83">
        <v>348</v>
      </c>
      <c r="B350" s="83" t="s">
        <v>990</v>
      </c>
      <c r="C350" s="124">
        <v>1</v>
      </c>
      <c r="D350" s="87" t="s">
        <v>337</v>
      </c>
    </row>
    <row r="351" spans="1:4">
      <c r="A351" s="83">
        <v>349</v>
      </c>
      <c r="B351" s="83" t="s">
        <v>893</v>
      </c>
      <c r="C351" s="124">
        <v>1</v>
      </c>
      <c r="D351" s="87" t="s">
        <v>338</v>
      </c>
    </row>
    <row r="352" spans="1:4">
      <c r="A352" s="83">
        <v>350</v>
      </c>
      <c r="B352" s="83" t="s">
        <v>751</v>
      </c>
      <c r="C352" s="124">
        <v>1</v>
      </c>
      <c r="D352" s="87" t="s">
        <v>339</v>
      </c>
    </row>
    <row r="353" spans="1:4">
      <c r="A353" s="83">
        <v>351</v>
      </c>
      <c r="B353" s="83" t="s">
        <v>961</v>
      </c>
      <c r="C353" s="124">
        <v>1</v>
      </c>
      <c r="D353" s="87" t="s">
        <v>340</v>
      </c>
    </row>
    <row r="354" spans="1:4">
      <c r="A354" s="83">
        <v>352</v>
      </c>
      <c r="B354" s="83" t="s">
        <v>962</v>
      </c>
      <c r="C354" s="124">
        <v>1</v>
      </c>
      <c r="D354" s="87" t="s">
        <v>341</v>
      </c>
    </row>
    <row r="355" spans="1:4">
      <c r="A355" s="83">
        <v>353</v>
      </c>
      <c r="B355" s="83" t="s">
        <v>963</v>
      </c>
      <c r="C355" s="124">
        <v>1</v>
      </c>
      <c r="D355" s="87" t="s">
        <v>342</v>
      </c>
    </row>
    <row r="356" spans="1:4">
      <c r="A356" s="83">
        <v>354</v>
      </c>
      <c r="B356" s="83" t="s">
        <v>894</v>
      </c>
      <c r="C356" s="124">
        <v>5</v>
      </c>
      <c r="D356" s="87" t="s">
        <v>343</v>
      </c>
    </row>
    <row r="357" spans="1:4">
      <c r="A357" s="83">
        <v>355</v>
      </c>
      <c r="B357" s="83" t="s">
        <v>1005</v>
      </c>
      <c r="C357" s="124">
        <v>1</v>
      </c>
      <c r="D357" s="87" t="s">
        <v>344</v>
      </c>
    </row>
    <row r="358" spans="1:4">
      <c r="A358" s="83">
        <v>356</v>
      </c>
      <c r="B358" s="83" t="s">
        <v>895</v>
      </c>
      <c r="C358" s="124">
        <v>1</v>
      </c>
      <c r="D358" s="87" t="s">
        <v>345</v>
      </c>
    </row>
    <row r="359" spans="1:4">
      <c r="A359" s="83">
        <v>357</v>
      </c>
      <c r="B359" s="83" t="s">
        <v>823</v>
      </c>
      <c r="C359" s="124">
        <v>5</v>
      </c>
      <c r="D359" s="87" t="s">
        <v>346</v>
      </c>
    </row>
    <row r="360" spans="1:4">
      <c r="A360" s="83">
        <v>358</v>
      </c>
      <c r="B360" s="83" t="s">
        <v>991</v>
      </c>
      <c r="C360" s="124">
        <v>1</v>
      </c>
      <c r="D360" s="87" t="s">
        <v>347</v>
      </c>
    </row>
    <row r="361" spans="1:4">
      <c r="A361" s="83">
        <v>359</v>
      </c>
      <c r="B361" s="83" t="s">
        <v>824</v>
      </c>
      <c r="C361" s="124">
        <v>1</v>
      </c>
      <c r="D361" s="87" t="s">
        <v>348</v>
      </c>
    </row>
    <row r="362" spans="1:4">
      <c r="A362" s="83">
        <v>360</v>
      </c>
      <c r="B362" s="83" t="s">
        <v>965</v>
      </c>
      <c r="C362" s="124">
        <v>1</v>
      </c>
      <c r="D362" s="87" t="s">
        <v>349</v>
      </c>
    </row>
    <row r="363" spans="1:4">
      <c r="A363" s="83">
        <v>361</v>
      </c>
      <c r="B363" s="83" t="s">
        <v>752</v>
      </c>
      <c r="C363" s="124">
        <v>1</v>
      </c>
      <c r="D363" s="87" t="s">
        <v>350</v>
      </c>
    </row>
    <row r="364" spans="1:4">
      <c r="A364" s="83">
        <v>362</v>
      </c>
      <c r="B364" s="83" t="s">
        <v>694</v>
      </c>
      <c r="C364" s="124">
        <v>1</v>
      </c>
      <c r="D364" s="87" t="s">
        <v>1095</v>
      </c>
    </row>
    <row r="365" spans="1:4">
      <c r="A365" s="83">
        <v>363</v>
      </c>
      <c r="B365" s="83" t="s">
        <v>753</v>
      </c>
      <c r="C365" s="124">
        <v>1</v>
      </c>
      <c r="D365" s="87" t="s">
        <v>351</v>
      </c>
    </row>
    <row r="366" spans="1:4">
      <c r="A366" s="83">
        <v>364</v>
      </c>
      <c r="B366" s="83" t="s">
        <v>70</v>
      </c>
      <c r="C366" s="124">
        <v>1</v>
      </c>
      <c r="D366" s="87" t="s">
        <v>843</v>
      </c>
    </row>
    <row r="367" spans="1:4">
      <c r="A367" s="83">
        <v>365</v>
      </c>
      <c r="B367" s="83" t="s">
        <v>678</v>
      </c>
      <c r="C367" s="124">
        <v>1</v>
      </c>
      <c r="D367" s="87" t="s">
        <v>1165</v>
      </c>
    </row>
    <row r="368" spans="1:4">
      <c r="A368" s="83">
        <v>366</v>
      </c>
      <c r="B368" s="83" t="s">
        <v>896</v>
      </c>
      <c r="C368" s="124">
        <v>1</v>
      </c>
      <c r="D368" s="87" t="s">
        <v>352</v>
      </c>
    </row>
    <row r="369" spans="1:4">
      <c r="A369" s="83">
        <v>367</v>
      </c>
      <c r="B369" s="83" t="s">
        <v>710</v>
      </c>
      <c r="C369" s="124">
        <v>1</v>
      </c>
      <c r="D369" s="87" t="s">
        <v>1185</v>
      </c>
    </row>
    <row r="370" spans="1:4">
      <c r="A370" s="83">
        <v>368</v>
      </c>
      <c r="B370" s="83" t="s">
        <v>754</v>
      </c>
      <c r="C370" s="124">
        <v>1</v>
      </c>
      <c r="D370" s="87" t="s">
        <v>353</v>
      </c>
    </row>
    <row r="371" spans="1:4">
      <c r="A371" s="83">
        <v>369</v>
      </c>
      <c r="B371" s="83" t="s">
        <v>834</v>
      </c>
      <c r="C371" s="124">
        <v>1</v>
      </c>
      <c r="D371" s="87" t="s">
        <v>354</v>
      </c>
    </row>
    <row r="372" spans="1:4">
      <c r="A372" s="83">
        <v>370</v>
      </c>
      <c r="B372" s="83" t="s">
        <v>788</v>
      </c>
      <c r="C372" s="124">
        <v>1</v>
      </c>
      <c r="D372" s="87" t="s">
        <v>355</v>
      </c>
    </row>
    <row r="373" spans="1:4">
      <c r="A373" s="83">
        <v>371</v>
      </c>
      <c r="B373" s="83" t="s">
        <v>657</v>
      </c>
      <c r="C373" s="124">
        <v>4</v>
      </c>
      <c r="D373" s="87" t="s">
        <v>1118</v>
      </c>
    </row>
    <row r="374" spans="1:4">
      <c r="A374" s="83">
        <v>372</v>
      </c>
      <c r="B374" s="83" t="s">
        <v>755</v>
      </c>
      <c r="C374" s="124">
        <v>1</v>
      </c>
      <c r="D374" s="87" t="s">
        <v>356</v>
      </c>
    </row>
    <row r="375" spans="1:4">
      <c r="A375" s="83">
        <v>373</v>
      </c>
      <c r="B375" s="83" t="s">
        <v>966</v>
      </c>
      <c r="C375" s="124">
        <v>1</v>
      </c>
      <c r="D375" s="87" t="s">
        <v>357</v>
      </c>
    </row>
    <row r="376" spans="1:4">
      <c r="A376" s="83">
        <v>374</v>
      </c>
      <c r="B376" s="83" t="s">
        <v>789</v>
      </c>
      <c r="C376" s="124">
        <v>4</v>
      </c>
      <c r="D376" s="87" t="s">
        <v>358</v>
      </c>
    </row>
    <row r="377" spans="1:4">
      <c r="A377" s="83">
        <v>375</v>
      </c>
      <c r="B377" s="83" t="s">
        <v>835</v>
      </c>
      <c r="C377" s="124">
        <v>1</v>
      </c>
      <c r="D377" s="87" t="s">
        <v>364</v>
      </c>
    </row>
    <row r="378" spans="1:4">
      <c r="A378" s="83">
        <v>376</v>
      </c>
      <c r="B378" s="83" t="s">
        <v>790</v>
      </c>
      <c r="C378" s="124">
        <v>1</v>
      </c>
      <c r="D378" s="87" t="s">
        <v>365</v>
      </c>
    </row>
    <row r="379" spans="1:4">
      <c r="A379" s="83">
        <v>377</v>
      </c>
      <c r="B379" s="83" t="s">
        <v>967</v>
      </c>
      <c r="C379" s="124">
        <v>2</v>
      </c>
      <c r="D379" s="87" t="s">
        <v>366</v>
      </c>
    </row>
    <row r="380" spans="1:4">
      <c r="A380" s="83">
        <v>378</v>
      </c>
      <c r="B380" s="83" t="s">
        <v>836</v>
      </c>
      <c r="C380" s="124">
        <v>3</v>
      </c>
      <c r="D380" s="87" t="s">
        <v>367</v>
      </c>
    </row>
    <row r="381" spans="1:4">
      <c r="A381" s="83">
        <v>379</v>
      </c>
      <c r="B381" s="83" t="s">
        <v>756</v>
      </c>
      <c r="C381" s="124">
        <v>1</v>
      </c>
      <c r="D381" s="87" t="s">
        <v>368</v>
      </c>
    </row>
    <row r="382" spans="1:4">
      <c r="A382" s="83">
        <v>380</v>
      </c>
      <c r="B382" s="83" t="s">
        <v>837</v>
      </c>
      <c r="C382" s="124">
        <v>1</v>
      </c>
      <c r="D382" s="87" t="s">
        <v>369</v>
      </c>
    </row>
    <row r="383" spans="1:4">
      <c r="A383" s="83">
        <v>381</v>
      </c>
      <c r="B383" s="83" t="s">
        <v>897</v>
      </c>
      <c r="C383" s="124">
        <v>4</v>
      </c>
      <c r="D383" s="87" t="s">
        <v>370</v>
      </c>
    </row>
    <row r="384" spans="1:4">
      <c r="A384" s="83">
        <v>382</v>
      </c>
      <c r="B384" s="83" t="s">
        <v>838</v>
      </c>
      <c r="C384" s="124">
        <v>5</v>
      </c>
      <c r="D384" s="87" t="s">
        <v>371</v>
      </c>
    </row>
    <row r="385" spans="1:4">
      <c r="A385" s="83">
        <v>383</v>
      </c>
      <c r="B385" s="83" t="s">
        <v>997</v>
      </c>
      <c r="C385" s="124">
        <v>1</v>
      </c>
      <c r="D385" s="87" t="s">
        <v>372</v>
      </c>
    </row>
    <row r="386" spans="1:4">
      <c r="A386" s="83">
        <v>384</v>
      </c>
      <c r="B386" s="83" t="s">
        <v>791</v>
      </c>
      <c r="C386" s="124">
        <v>1</v>
      </c>
      <c r="D386" s="87" t="s">
        <v>373</v>
      </c>
    </row>
    <row r="387" spans="1:4">
      <c r="A387" s="83">
        <v>385</v>
      </c>
      <c r="B387" s="83" t="s">
        <v>757</v>
      </c>
      <c r="C387" s="124">
        <v>1</v>
      </c>
      <c r="D387" s="87" t="s">
        <v>374</v>
      </c>
    </row>
    <row r="388" spans="1:4">
      <c r="A388" s="83">
        <v>386</v>
      </c>
      <c r="B388" s="83" t="s">
        <v>6</v>
      </c>
      <c r="C388" s="124">
        <v>3</v>
      </c>
      <c r="D388" s="87" t="s">
        <v>9</v>
      </c>
    </row>
    <row r="389" spans="1:4">
      <c r="A389" s="83">
        <v>387</v>
      </c>
      <c r="B389" s="83" t="s">
        <v>898</v>
      </c>
      <c r="C389" s="124">
        <v>5</v>
      </c>
      <c r="D389" s="87" t="s">
        <v>375</v>
      </c>
    </row>
    <row r="390" spans="1:4">
      <c r="A390" s="83">
        <v>388</v>
      </c>
      <c r="B390" s="83" t="s">
        <v>660</v>
      </c>
      <c r="C390" s="124">
        <v>2</v>
      </c>
      <c r="D390" s="87" t="s">
        <v>1119</v>
      </c>
    </row>
    <row r="391" spans="1:4">
      <c r="A391" s="83">
        <v>389</v>
      </c>
      <c r="B391" s="83" t="s">
        <v>1097</v>
      </c>
      <c r="C391" s="124">
        <v>5</v>
      </c>
      <c r="D391" s="87" t="s">
        <v>509</v>
      </c>
    </row>
    <row r="392" spans="1:4">
      <c r="A392" s="83">
        <v>390</v>
      </c>
      <c r="B392" s="83" t="s">
        <v>968</v>
      </c>
      <c r="C392" s="124">
        <v>1</v>
      </c>
      <c r="D392" s="87" t="s">
        <v>376</v>
      </c>
    </row>
    <row r="393" spans="1:4">
      <c r="A393" s="83">
        <v>391</v>
      </c>
      <c r="B393" s="83" t="s">
        <v>758</v>
      </c>
      <c r="C393" s="124">
        <v>1</v>
      </c>
      <c r="D393" s="87" t="s">
        <v>377</v>
      </c>
    </row>
    <row r="394" spans="1:4">
      <c r="A394" s="83">
        <v>392</v>
      </c>
      <c r="B394" s="83" t="s">
        <v>711</v>
      </c>
      <c r="C394" s="124">
        <v>1</v>
      </c>
      <c r="D394" s="87" t="s">
        <v>1186</v>
      </c>
    </row>
    <row r="395" spans="1:4">
      <c r="A395" s="83">
        <v>393</v>
      </c>
      <c r="B395" s="83" t="s">
        <v>899</v>
      </c>
      <c r="C395" s="124">
        <v>4</v>
      </c>
      <c r="D395" s="87" t="s">
        <v>378</v>
      </c>
    </row>
    <row r="396" spans="1:4">
      <c r="A396" s="83">
        <v>394</v>
      </c>
      <c r="B396" s="83" t="s">
        <v>712</v>
      </c>
      <c r="C396" s="124">
        <v>1</v>
      </c>
      <c r="D396" s="87" t="s">
        <v>1187</v>
      </c>
    </row>
    <row r="493" spans="2:2">
      <c r="B493" s="126"/>
    </row>
    <row r="498" spans="2:2">
      <c r="B498" s="83" t="s">
        <v>1190</v>
      </c>
    </row>
    <row r="499" spans="2:2">
      <c r="B499" s="83" t="s">
        <v>1083</v>
      </c>
    </row>
    <row r="500" spans="2:2">
      <c r="B500" s="83" t="s">
        <v>162</v>
      </c>
    </row>
    <row r="501" spans="2:2">
      <c r="B501" s="83" t="s">
        <v>1081</v>
      </c>
    </row>
    <row r="502" spans="2:2">
      <c r="B502" s="83" t="s">
        <v>1082</v>
      </c>
    </row>
  </sheetData>
  <sheetProtection algorithmName="SHA-512" hashValue="amMj9RqGwGCtZ10WBghkq/Dr3PJAn4NLeJCJVeDrw34/kliq1VtBKrc0iR3KjYpJut45NWdV6/Pm5r3nKZOpcQ==" saltValue="AhSAk29KC+96f+oSkK8+Pw==" spinCount="100000" sheet="1" objects="1" scenarios="1"/>
  <customSheetViews>
    <customSheetView guid="{8B6F97DF-C947-48D2-9784-61CE00853B70}" scale="90" printArea="1" showRuler="0">
      <selection activeCell="B3" sqref="B3"/>
      <pageMargins left="0.75" right="0.75" top="1" bottom="1" header="0.5" footer="0.5"/>
      <pageSetup paperSize="9" scale="87" orientation="portrait" r:id="rId1"/>
      <headerFooter alignWithMargins="0"/>
    </customSheetView>
  </customSheetViews>
  <mergeCells count="35">
    <mergeCell ref="E182:G182"/>
    <mergeCell ref="E176:G176"/>
    <mergeCell ref="E168:G168"/>
    <mergeCell ref="E127:G127"/>
    <mergeCell ref="E162:G162"/>
    <mergeCell ref="N69:Q69"/>
    <mergeCell ref="E156:G156"/>
    <mergeCell ref="E206:G206"/>
    <mergeCell ref="E194:G194"/>
    <mergeCell ref="J69:K69"/>
    <mergeCell ref="H74:I74"/>
    <mergeCell ref="E74:G74"/>
    <mergeCell ref="H75:I75"/>
    <mergeCell ref="E188:G188"/>
    <mergeCell ref="H76:I76"/>
    <mergeCell ref="H77:I77"/>
    <mergeCell ref="H78:I78"/>
    <mergeCell ref="E69:I71"/>
    <mergeCell ref="E150:G150"/>
    <mergeCell ref="E200:G200"/>
    <mergeCell ref="E75:G75"/>
    <mergeCell ref="E144:G144"/>
    <mergeCell ref="E138:G138"/>
    <mergeCell ref="E133:G133"/>
    <mergeCell ref="E101:G101"/>
    <mergeCell ref="L69:M69"/>
    <mergeCell ref="E76:G76"/>
    <mergeCell ref="E77:G77"/>
    <mergeCell ref="E78:G78"/>
    <mergeCell ref="E82:G82"/>
    <mergeCell ref="E89:G89"/>
    <mergeCell ref="E95:G95"/>
    <mergeCell ref="E115:G115"/>
    <mergeCell ref="E107:G107"/>
    <mergeCell ref="E121:G121"/>
  </mergeCells>
  <phoneticPr fontId="53" type="noConversion"/>
  <printOptions gridLines="1"/>
  <pageMargins left="0.75" right="0.75" top="1" bottom="1" header="0.5" footer="0.5"/>
  <pageSetup paperSize="9" scale="8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B1:I32"/>
  <sheetViews>
    <sheetView showGridLines="0" showRowColHeaders="0" showZeros="0" showOutlineSymbols="0" topLeftCell="A4" zoomScaleNormal="100" workbookViewId="0">
      <selection activeCell="F23" sqref="F23"/>
    </sheetView>
  </sheetViews>
  <sheetFormatPr defaultColWidth="9.140625" defaultRowHeight="12.75"/>
  <cols>
    <col min="1" max="1" width="0.5703125" style="30" customWidth="1"/>
    <col min="2" max="2" width="9.140625" style="30"/>
    <col min="3" max="3" width="51.5703125" style="30" customWidth="1"/>
    <col min="4" max="4" width="19.7109375" style="30" customWidth="1"/>
    <col min="5" max="5" width="19.5703125" style="30" customWidth="1"/>
    <col min="6" max="16384" width="9.140625" style="30"/>
  </cols>
  <sheetData>
    <row r="1" spans="2:8" ht="24" customHeight="1">
      <c r="C1" s="88" t="s">
        <v>183</v>
      </c>
    </row>
    <row r="2" spans="2:8" ht="36.75" customHeight="1">
      <c r="C2" s="395" t="s">
        <v>179</v>
      </c>
      <c r="D2" s="395"/>
      <c r="E2" s="395"/>
      <c r="F2" s="395"/>
      <c r="G2" s="395"/>
    </row>
    <row r="3" spans="2:8" ht="38.25" customHeight="1">
      <c r="D3" s="89" t="s">
        <v>182</v>
      </c>
      <c r="E3" s="90">
        <v>42334</v>
      </c>
    </row>
    <row r="4" spans="2:8" s="80" customFormat="1" ht="15.75" customHeight="1">
      <c r="B4" s="80" t="s">
        <v>157</v>
      </c>
      <c r="C4" s="80" t="s">
        <v>158</v>
      </c>
      <c r="D4" s="394" t="s">
        <v>87</v>
      </c>
      <c r="E4" s="394"/>
      <c r="F4" s="91"/>
    </row>
    <row r="5" spans="2:8">
      <c r="D5" s="81" t="s">
        <v>86</v>
      </c>
      <c r="E5" s="81" t="s">
        <v>180</v>
      </c>
    </row>
    <row r="6" spans="2:8">
      <c r="C6" s="30" t="s">
        <v>159</v>
      </c>
      <c r="D6" s="85">
        <f>'Gemeenten met categorie'!AF9</f>
        <v>34.68</v>
      </c>
      <c r="E6" s="92">
        <v>34.68</v>
      </c>
    </row>
    <row r="7" spans="2:8">
      <c r="C7" s="30" t="s">
        <v>160</v>
      </c>
      <c r="D7" s="85">
        <f>'Gemeenten met categorie'!AF10</f>
        <v>33</v>
      </c>
      <c r="E7" s="92">
        <v>33</v>
      </c>
    </row>
    <row r="8" spans="2:8">
      <c r="C8" s="30" t="s">
        <v>181</v>
      </c>
      <c r="D8" s="85">
        <f>'Gemeenten met categorie'!AF11</f>
        <v>9.14</v>
      </c>
      <c r="E8" s="92">
        <v>9.14</v>
      </c>
    </row>
    <row r="9" spans="2:8" ht="9.9499999999999993" customHeight="1"/>
    <row r="10" spans="2:8" s="80" customFormat="1" ht="15" customHeight="1">
      <c r="B10" s="80" t="s">
        <v>161</v>
      </c>
      <c r="C10" s="80" t="s">
        <v>158</v>
      </c>
      <c r="D10" s="91" t="s">
        <v>163</v>
      </c>
      <c r="E10" s="91"/>
      <c r="F10" s="91"/>
      <c r="G10" s="91"/>
      <c r="H10" s="91"/>
    </row>
    <row r="11" spans="2:8">
      <c r="D11" s="81" t="s">
        <v>86</v>
      </c>
      <c r="E11" s="81" t="s">
        <v>180</v>
      </c>
    </row>
    <row r="12" spans="2:8">
      <c r="C12" s="80" t="s">
        <v>166</v>
      </c>
    </row>
    <row r="13" spans="2:8">
      <c r="C13" s="30" t="s">
        <v>164</v>
      </c>
      <c r="D13" s="93">
        <f>'Gemeenten met categorie'!AI22</f>
        <v>485</v>
      </c>
      <c r="E13" s="92">
        <v>485</v>
      </c>
    </row>
    <row r="14" spans="2:8">
      <c r="C14" s="30" t="s">
        <v>165</v>
      </c>
      <c r="D14" s="93">
        <f>'Gemeenten met categorie'!AI23</f>
        <v>722</v>
      </c>
      <c r="E14" s="92">
        <v>722</v>
      </c>
    </row>
    <row r="15" spans="2:8" ht="9.9499999999999993" customHeight="1"/>
    <row r="16" spans="2:8">
      <c r="C16" s="80" t="s">
        <v>167</v>
      </c>
    </row>
    <row r="17" spans="2:9">
      <c r="C17" s="30" t="s">
        <v>168</v>
      </c>
      <c r="D17" s="93">
        <f>'Gemeenten met categorie'!AI24</f>
        <v>239</v>
      </c>
      <c r="E17" s="92">
        <v>239</v>
      </c>
    </row>
    <row r="18" spans="2:9" ht="9.9499999999999993" customHeight="1"/>
    <row r="19" spans="2:9">
      <c r="C19" s="80" t="s">
        <v>169</v>
      </c>
      <c r="D19" s="83"/>
      <c r="F19" s="84" t="s">
        <v>88</v>
      </c>
      <c r="G19" s="396" t="s">
        <v>1113</v>
      </c>
      <c r="H19" s="397"/>
      <c r="I19" s="397"/>
    </row>
    <row r="20" spans="2:9">
      <c r="C20" s="30" t="s">
        <v>170</v>
      </c>
      <c r="D20" s="93">
        <f>'Gemeenten met categorie'!AL22</f>
        <v>8.0299999999999994</v>
      </c>
      <c r="E20" s="92">
        <v>8.0299999999999994</v>
      </c>
      <c r="G20" s="397"/>
      <c r="H20" s="397"/>
      <c r="I20" s="397"/>
    </row>
    <row r="21" spans="2:9">
      <c r="C21" s="30" t="s">
        <v>171</v>
      </c>
      <c r="D21" s="93">
        <f>'Gemeenten met categorie'!AL23</f>
        <v>11.55</v>
      </c>
      <c r="E21" s="92">
        <v>11.55</v>
      </c>
      <c r="G21" s="397"/>
      <c r="H21" s="397"/>
      <c r="I21" s="397"/>
    </row>
    <row r="22" spans="2:9" ht="9.9499999999999993" customHeight="1">
      <c r="G22" s="397"/>
      <c r="H22" s="397"/>
      <c r="I22" s="397"/>
    </row>
    <row r="23" spans="2:9">
      <c r="C23" s="80" t="s">
        <v>172</v>
      </c>
      <c r="G23" s="397"/>
      <c r="H23" s="397"/>
      <c r="I23" s="397"/>
    </row>
    <row r="24" spans="2:9">
      <c r="C24" s="30" t="s">
        <v>173</v>
      </c>
      <c r="D24" s="93">
        <f>'Gemeenten met categorie'!AL24</f>
        <v>10.6</v>
      </c>
      <c r="E24" s="92">
        <v>10.6</v>
      </c>
      <c r="G24" s="397"/>
      <c r="H24" s="397"/>
      <c r="I24" s="397"/>
    </row>
    <row r="25" spans="2:9" ht="9.9499999999999993" customHeight="1">
      <c r="G25" s="397"/>
      <c r="H25" s="397"/>
      <c r="I25" s="397"/>
    </row>
    <row r="26" spans="2:9" s="80" customFormat="1" ht="15" customHeight="1">
      <c r="B26" s="80" t="s">
        <v>174</v>
      </c>
      <c r="C26" s="80" t="s">
        <v>158</v>
      </c>
      <c r="D26" s="394" t="s">
        <v>175</v>
      </c>
      <c r="E26" s="394"/>
      <c r="F26" s="91"/>
    </row>
    <row r="27" spans="2:9">
      <c r="D27" s="81" t="s">
        <v>86</v>
      </c>
      <c r="E27" s="81" t="s">
        <v>180</v>
      </c>
    </row>
    <row r="28" spans="2:9">
      <c r="C28" s="30" t="s">
        <v>176</v>
      </c>
      <c r="D28" s="93">
        <f>'Gemeenten met categorie'!AF45</f>
        <v>29.59</v>
      </c>
      <c r="E28" s="92">
        <v>29.59</v>
      </c>
    </row>
    <row r="29" spans="2:9">
      <c r="C29" s="30" t="s">
        <v>181</v>
      </c>
      <c r="D29" s="93">
        <f>Invoerscherm!D8</f>
        <v>9.14</v>
      </c>
      <c r="E29" s="92">
        <v>9.14</v>
      </c>
    </row>
    <row r="30" spans="2:9" ht="9.9499999999999993" customHeight="1"/>
    <row r="31" spans="2:9">
      <c r="C31" s="30" t="s">
        <v>177</v>
      </c>
      <c r="D31" s="93">
        <f>'Gemeenten met categorie'!AD55</f>
        <v>7.1</v>
      </c>
      <c r="E31" s="92">
        <v>7.1</v>
      </c>
    </row>
    <row r="32" spans="2:9">
      <c r="C32" s="30" t="s">
        <v>178</v>
      </c>
      <c r="D32" s="93">
        <f>'Gemeenten met categorie'!AD56</f>
        <v>7</v>
      </c>
      <c r="E32" s="92">
        <v>7</v>
      </c>
    </row>
  </sheetData>
  <sheetProtection algorithmName="SHA-512" hashValue="qrAbFNnmrIxhdFe4/z9oLnwn2JI+o4qyDgspom6jIXzxCk07noWBoclxgOHulRJT/Rk19pgrHXLI+sD7aQtiHA==" saltValue="bGMipqoV18d8LA8YAORQlw==" spinCount="100000" sheet="1" objects="1" scenarios="1"/>
  <customSheetViews>
    <customSheetView guid="{8B6F97DF-C947-48D2-9784-61CE00853B70}" showGridLines="0" showRowCol="0" outlineSymbols="0" zeroValues="0" showRuler="0">
      <selection activeCell="E3" sqref="E3"/>
      <pageMargins left="0.59055118110236227" right="0.59055118110236227" top="0.78740157480314965" bottom="0.78740157480314965" header="0.51181102362204722" footer="0.51181102362204722"/>
      <pageSetup scale="92" orientation="landscape" r:id="rId1"/>
      <headerFooter alignWithMargins="0"/>
    </customSheetView>
  </customSheetViews>
  <mergeCells count="4">
    <mergeCell ref="D4:E4"/>
    <mergeCell ref="D26:E26"/>
    <mergeCell ref="C2:G2"/>
    <mergeCell ref="G19:I25"/>
  </mergeCells>
  <phoneticPr fontId="53" type="noConversion"/>
  <pageMargins left="0.59055118110236227" right="0.59055118110236227" top="0.78740157480314965" bottom="0.78740157480314965" header="0.51181102362204722" footer="0.51181102362204722"/>
  <pageSetup scale="9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Button 1">
              <controlPr defaultSize="0" print="0" autoFill="0" autoPict="0" macro="[0]!Rekenblad">
                <anchor moveWithCells="1" sizeWithCells="1">
                  <from>
                    <xdr:col>6</xdr:col>
                    <xdr:colOff>171450</xdr:colOff>
                    <xdr:row>13</xdr:row>
                    <xdr:rowOff>28575</xdr:rowOff>
                  </from>
                  <to>
                    <xdr:col>8</xdr:col>
                    <xdr:colOff>57150</xdr:colOff>
                    <xdr:row>15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autoPageBreaks="0"/>
  </sheetPr>
  <dimension ref="A1:O3615"/>
  <sheetViews>
    <sheetView showGridLines="0" showZeros="0" showOutlineSymbols="0" zoomScale="80" zoomScaleNormal="95" workbookViewId="0">
      <selection activeCell="G13" sqref="G13"/>
    </sheetView>
  </sheetViews>
  <sheetFormatPr defaultColWidth="9.140625" defaultRowHeight="12.75"/>
  <cols>
    <col min="1" max="1" width="0.42578125" style="86" customWidth="1"/>
    <col min="2" max="10" width="9.140625" style="86"/>
    <col min="11" max="11" width="9.5703125" style="86" customWidth="1"/>
    <col min="12" max="14" width="9.140625" style="86"/>
    <col min="15" max="15" width="13.42578125" style="86" customWidth="1"/>
    <col min="16" max="16384" width="9.140625" style="86"/>
  </cols>
  <sheetData>
    <row r="1" spans="1:15" s="126" customFormat="1" ht="6.75" customHeight="1">
      <c r="A1" s="86"/>
    </row>
    <row r="2" spans="1:15" s="126" customFormat="1">
      <c r="A2" s="86"/>
      <c r="C2" s="127" t="s">
        <v>1206</v>
      </c>
      <c r="M2" s="128"/>
      <c r="N2" s="129"/>
      <c r="O2" s="129"/>
    </row>
    <row r="3" spans="1:15" s="126" customFormat="1">
      <c r="A3" s="86"/>
      <c r="B3" s="130" t="s">
        <v>1191</v>
      </c>
      <c r="C3" s="126" t="s">
        <v>886</v>
      </c>
      <c r="M3" s="103"/>
      <c r="N3" s="129"/>
      <c r="O3" s="129"/>
    </row>
    <row r="4" spans="1:15" s="126" customFormat="1">
      <c r="A4" s="86"/>
      <c r="B4" s="130" t="s">
        <v>1191</v>
      </c>
      <c r="C4" s="126" t="s">
        <v>1114</v>
      </c>
      <c r="M4" s="103"/>
      <c r="N4" s="129"/>
      <c r="O4" s="129"/>
    </row>
    <row r="5" spans="1:15" s="126" customFormat="1">
      <c r="A5" s="86"/>
      <c r="B5" s="130" t="s">
        <v>1191</v>
      </c>
      <c r="C5" s="126" t="s">
        <v>634</v>
      </c>
      <c r="M5" s="103"/>
      <c r="N5" s="129"/>
      <c r="O5" s="129"/>
    </row>
    <row r="6" spans="1:15" s="126" customFormat="1">
      <c r="A6" s="86"/>
      <c r="B6" s="130" t="s">
        <v>1191</v>
      </c>
      <c r="C6" s="126" t="s">
        <v>1207</v>
      </c>
      <c r="M6" s="103"/>
      <c r="N6" s="129"/>
      <c r="O6" s="129"/>
    </row>
    <row r="7" spans="1:15" s="126" customFormat="1">
      <c r="A7" s="86"/>
      <c r="B7" s="130" t="s">
        <v>1191</v>
      </c>
      <c r="C7" s="126" t="s">
        <v>1208</v>
      </c>
      <c r="M7" s="103"/>
      <c r="N7" s="129"/>
      <c r="O7" s="129"/>
    </row>
    <row r="8" spans="1:15" s="126" customFormat="1" ht="6.75" customHeight="1">
      <c r="A8" s="86"/>
    </row>
    <row r="9" spans="1:15" s="126" customFormat="1" ht="15.75">
      <c r="A9" s="86"/>
      <c r="C9" s="131" t="s">
        <v>1202</v>
      </c>
    </row>
    <row r="10" spans="1:15" s="126" customFormat="1" ht="6.75" customHeight="1">
      <c r="A10" s="86"/>
    </row>
    <row r="11" spans="1:15" s="126" customFormat="1">
      <c r="A11" s="86"/>
      <c r="C11" s="126" t="s">
        <v>633</v>
      </c>
    </row>
    <row r="12" spans="1:15" s="126" customFormat="1" ht="15.75">
      <c r="A12" s="86"/>
      <c r="C12" s="127" t="s">
        <v>103</v>
      </c>
      <c r="D12" s="131"/>
    </row>
    <row r="13" spans="1:15" s="126" customFormat="1" ht="6.75" customHeight="1">
      <c r="A13" s="86"/>
    </row>
    <row r="14" spans="1:15" s="126" customFormat="1">
      <c r="A14" s="86"/>
      <c r="C14" s="126" t="s">
        <v>2</v>
      </c>
    </row>
    <row r="15" spans="1:15" s="126" customFormat="1">
      <c r="A15" s="86"/>
      <c r="C15" s="126" t="s">
        <v>1216</v>
      </c>
    </row>
    <row r="16" spans="1:15" s="126" customFormat="1" ht="6" customHeight="1">
      <c r="A16" s="86"/>
    </row>
    <row r="17" spans="1:11" s="126" customFormat="1">
      <c r="A17" s="86"/>
      <c r="B17" s="130" t="s">
        <v>1191</v>
      </c>
      <c r="C17" s="126" t="s">
        <v>1203</v>
      </c>
      <c r="E17" s="126" t="s">
        <v>887</v>
      </c>
    </row>
    <row r="18" spans="1:11" s="126" customFormat="1" ht="6" customHeight="1">
      <c r="A18" s="86"/>
      <c r="B18" s="130"/>
    </row>
    <row r="19" spans="1:11" s="126" customFormat="1">
      <c r="A19" s="86"/>
      <c r="B19" s="130" t="s">
        <v>1191</v>
      </c>
      <c r="C19" s="126" t="s">
        <v>381</v>
      </c>
    </row>
    <row r="20" spans="1:11" s="126" customFormat="1">
      <c r="A20" s="86"/>
      <c r="B20" s="130"/>
      <c r="C20" s="126" t="s">
        <v>382</v>
      </c>
    </row>
    <row r="21" spans="1:11" s="126" customFormat="1">
      <c r="A21" s="86"/>
      <c r="B21" s="130" t="s">
        <v>1191</v>
      </c>
      <c r="C21" s="126" t="s">
        <v>888</v>
      </c>
    </row>
    <row r="22" spans="1:11" s="126" customFormat="1">
      <c r="A22" s="86"/>
      <c r="B22" s="130"/>
      <c r="C22" s="126" t="s">
        <v>0</v>
      </c>
    </row>
    <row r="23" spans="1:11" s="126" customFormat="1">
      <c r="A23" s="86"/>
      <c r="B23" s="130"/>
      <c r="C23" s="126" t="s">
        <v>1</v>
      </c>
    </row>
    <row r="24" spans="1:11" s="126" customFormat="1">
      <c r="A24" s="86"/>
      <c r="B24" s="130" t="s">
        <v>1191</v>
      </c>
      <c r="C24" s="228" t="s">
        <v>104</v>
      </c>
      <c r="D24" s="228"/>
      <c r="E24" s="228"/>
      <c r="F24" s="229"/>
      <c r="G24" s="229"/>
      <c r="H24" s="229"/>
      <c r="I24"/>
      <c r="J24"/>
      <c r="K24"/>
    </row>
    <row r="25" spans="1:11" s="126" customFormat="1">
      <c r="A25" s="86"/>
      <c r="B25" s="130"/>
      <c r="D25" s="126" t="s">
        <v>105</v>
      </c>
      <c r="F25"/>
      <c r="G25"/>
      <c r="H25"/>
      <c r="I25"/>
      <c r="J25"/>
      <c r="K25"/>
    </row>
    <row r="26" spans="1:11" s="126" customFormat="1">
      <c r="A26" s="86"/>
      <c r="B26" s="130"/>
      <c r="D26" s="126" t="s">
        <v>106</v>
      </c>
      <c r="F26"/>
      <c r="G26"/>
      <c r="H26"/>
      <c r="I26"/>
      <c r="J26"/>
      <c r="K26"/>
    </row>
    <row r="27" spans="1:11" s="126" customFormat="1">
      <c r="A27" s="86"/>
      <c r="B27" s="130"/>
      <c r="D27" s="126" t="s">
        <v>109</v>
      </c>
      <c r="F27"/>
      <c r="G27"/>
      <c r="H27"/>
      <c r="I27"/>
      <c r="J27"/>
      <c r="K27"/>
    </row>
    <row r="28" spans="1:11" s="126" customFormat="1">
      <c r="A28" s="86"/>
      <c r="B28" s="130"/>
      <c r="D28" s="126" t="s">
        <v>107</v>
      </c>
      <c r="F28"/>
      <c r="G28"/>
      <c r="H28"/>
      <c r="I28"/>
      <c r="J28"/>
      <c r="K28"/>
    </row>
    <row r="29" spans="1:11" s="126" customFormat="1">
      <c r="A29" s="86"/>
      <c r="B29" s="130"/>
      <c r="D29" s="228" t="s">
        <v>108</v>
      </c>
      <c r="E29" s="228"/>
      <c r="F29" s="229"/>
      <c r="G29"/>
      <c r="H29"/>
      <c r="I29"/>
      <c r="J29"/>
      <c r="K29"/>
    </row>
    <row r="30" spans="1:11" s="126" customFormat="1">
      <c r="A30" s="86"/>
      <c r="B30" s="130"/>
      <c r="D30" s="126" t="s">
        <v>889</v>
      </c>
      <c r="F30"/>
      <c r="G30"/>
      <c r="H30"/>
      <c r="I30"/>
      <c r="J30"/>
      <c r="K30"/>
    </row>
    <row r="31" spans="1:11" s="126" customFormat="1">
      <c r="A31" s="86"/>
      <c r="B31" s="130"/>
      <c r="D31" s="126" t="s">
        <v>890</v>
      </c>
      <c r="F31"/>
      <c r="G31"/>
      <c r="H31"/>
      <c r="I31"/>
      <c r="J31"/>
      <c r="K31"/>
    </row>
    <row r="32" spans="1:11" s="126" customFormat="1">
      <c r="A32" s="86"/>
      <c r="B32" s="130" t="s">
        <v>1191</v>
      </c>
      <c r="C32" s="126" t="s">
        <v>630</v>
      </c>
    </row>
    <row r="33" spans="1:3" s="126" customFormat="1">
      <c r="A33" s="86"/>
      <c r="B33" s="130" t="s">
        <v>1191</v>
      </c>
      <c r="C33" s="126" t="s">
        <v>384</v>
      </c>
    </row>
    <row r="34" spans="1:3" s="126" customFormat="1">
      <c r="A34" s="86"/>
      <c r="B34" s="130"/>
      <c r="C34" s="126" t="s">
        <v>1201</v>
      </c>
    </row>
    <row r="35" spans="1:3" s="126" customFormat="1">
      <c r="A35" s="86"/>
      <c r="B35" s="130" t="s">
        <v>1191</v>
      </c>
      <c r="C35" s="126" t="s">
        <v>1204</v>
      </c>
    </row>
    <row r="36" spans="1:3" s="126" customFormat="1">
      <c r="A36" s="86"/>
      <c r="B36" s="130" t="s">
        <v>1191</v>
      </c>
      <c r="C36" s="126" t="s">
        <v>385</v>
      </c>
    </row>
    <row r="37" spans="1:3" s="126" customFormat="1">
      <c r="A37" s="86"/>
      <c r="B37" s="130" t="s">
        <v>1191</v>
      </c>
      <c r="C37" s="126" t="s">
        <v>386</v>
      </c>
    </row>
    <row r="38" spans="1:3" s="126" customFormat="1">
      <c r="A38" s="86"/>
      <c r="B38" s="130" t="s">
        <v>1191</v>
      </c>
      <c r="C38" s="126" t="s">
        <v>387</v>
      </c>
    </row>
    <row r="39" spans="1:3" s="126" customFormat="1">
      <c r="A39" s="86"/>
      <c r="B39" s="130" t="s">
        <v>1191</v>
      </c>
      <c r="C39" s="126" t="s">
        <v>631</v>
      </c>
    </row>
    <row r="40" spans="1:3" s="126" customFormat="1">
      <c r="A40" s="86"/>
      <c r="B40" s="130"/>
      <c r="C40" s="126" t="s">
        <v>891</v>
      </c>
    </row>
    <row r="41" spans="1:3" s="126" customFormat="1">
      <c r="A41" s="86"/>
      <c r="B41" s="130"/>
      <c r="C41" s="126" t="s">
        <v>632</v>
      </c>
    </row>
    <row r="42" spans="1:3" s="126" customFormat="1">
      <c r="A42" s="86"/>
      <c r="B42" s="130" t="s">
        <v>1191</v>
      </c>
      <c r="C42" s="126" t="s">
        <v>521</v>
      </c>
    </row>
    <row r="43" spans="1:3" s="126" customFormat="1">
      <c r="A43" s="86"/>
      <c r="B43" s="130"/>
    </row>
    <row r="44" spans="1:3" s="126" customFormat="1">
      <c r="A44" s="86"/>
      <c r="B44" s="130"/>
      <c r="C44" s="127" t="s">
        <v>1205</v>
      </c>
    </row>
    <row r="45" spans="1:3" s="126" customFormat="1">
      <c r="A45" s="86"/>
      <c r="B45" s="130" t="s">
        <v>1191</v>
      </c>
      <c r="C45" s="126" t="s">
        <v>522</v>
      </c>
    </row>
    <row r="46" spans="1:3" s="126" customFormat="1">
      <c r="A46" s="86"/>
      <c r="B46" s="130"/>
      <c r="C46" s="126" t="s">
        <v>524</v>
      </c>
    </row>
    <row r="47" spans="1:3" s="126" customFormat="1">
      <c r="A47" s="86"/>
      <c r="B47" s="130"/>
    </row>
    <row r="48" spans="1:3" s="126" customFormat="1">
      <c r="A48" s="86"/>
      <c r="B48" s="130"/>
    </row>
    <row r="49" spans="1:2" s="126" customFormat="1">
      <c r="A49" s="86"/>
      <c r="B49" s="130"/>
    </row>
    <row r="50" spans="1:2" s="126" customFormat="1">
      <c r="A50" s="86"/>
      <c r="B50" s="130"/>
    </row>
    <row r="51" spans="1:2" s="126" customFormat="1">
      <c r="A51" s="86"/>
      <c r="B51" s="130"/>
    </row>
    <row r="52" spans="1:2" s="126" customFormat="1">
      <c r="A52" s="86"/>
    </row>
    <row r="53" spans="1:2" s="126" customFormat="1">
      <c r="A53" s="86"/>
    </row>
    <row r="54" spans="1:2" s="126" customFormat="1">
      <c r="A54" s="86"/>
    </row>
    <row r="55" spans="1:2" s="126" customFormat="1">
      <c r="A55" s="86"/>
    </row>
    <row r="56" spans="1:2" s="126" customFormat="1">
      <c r="A56" s="86"/>
    </row>
    <row r="57" spans="1:2" s="126" customFormat="1">
      <c r="A57" s="86"/>
    </row>
    <row r="58" spans="1:2" s="126" customFormat="1">
      <c r="A58" s="86"/>
    </row>
    <row r="59" spans="1:2" s="126" customFormat="1">
      <c r="A59" s="86"/>
    </row>
    <row r="60" spans="1:2" s="126" customFormat="1">
      <c r="A60" s="86"/>
    </row>
    <row r="61" spans="1:2" s="126" customFormat="1">
      <c r="A61" s="86"/>
    </row>
    <row r="62" spans="1:2" s="126" customFormat="1">
      <c r="A62" s="86"/>
    </row>
    <row r="63" spans="1:2" s="126" customFormat="1">
      <c r="A63" s="86"/>
    </row>
    <row r="64" spans="1:2" s="126" customFormat="1">
      <c r="A64" s="86"/>
    </row>
    <row r="65" spans="1:1" s="126" customFormat="1">
      <c r="A65" s="86"/>
    </row>
    <row r="66" spans="1:1" s="126" customFormat="1">
      <c r="A66" s="86"/>
    </row>
    <row r="67" spans="1:1" s="126" customFormat="1">
      <c r="A67" s="86"/>
    </row>
    <row r="68" spans="1:1" s="126" customFormat="1">
      <c r="A68" s="86"/>
    </row>
    <row r="69" spans="1:1" s="126" customFormat="1">
      <c r="A69" s="86"/>
    </row>
    <row r="70" spans="1:1" s="126" customFormat="1">
      <c r="A70" s="86"/>
    </row>
    <row r="71" spans="1:1" s="126" customFormat="1">
      <c r="A71" s="86"/>
    </row>
    <row r="72" spans="1:1" s="126" customFormat="1">
      <c r="A72" s="86"/>
    </row>
    <row r="73" spans="1:1" s="126" customFormat="1">
      <c r="A73" s="86"/>
    </row>
    <row r="74" spans="1:1" s="126" customFormat="1">
      <c r="A74" s="86"/>
    </row>
    <row r="75" spans="1:1" s="126" customFormat="1">
      <c r="A75" s="86"/>
    </row>
    <row r="76" spans="1:1" s="126" customFormat="1">
      <c r="A76" s="86"/>
    </row>
    <row r="77" spans="1:1" s="126" customFormat="1">
      <c r="A77" s="86"/>
    </row>
    <row r="78" spans="1:1" s="126" customFormat="1">
      <c r="A78" s="86"/>
    </row>
    <row r="79" spans="1:1" s="126" customFormat="1">
      <c r="A79" s="86"/>
    </row>
    <row r="80" spans="1:1" s="126" customFormat="1">
      <c r="A80" s="86"/>
    </row>
    <row r="81" spans="1:1" s="126" customFormat="1">
      <c r="A81" s="86"/>
    </row>
    <row r="82" spans="1:1" s="126" customFormat="1">
      <c r="A82" s="86"/>
    </row>
    <row r="83" spans="1:1" s="126" customFormat="1">
      <c r="A83" s="86"/>
    </row>
    <row r="84" spans="1:1" s="126" customFormat="1">
      <c r="A84" s="86"/>
    </row>
    <row r="85" spans="1:1" s="126" customFormat="1">
      <c r="A85" s="86"/>
    </row>
    <row r="86" spans="1:1" s="126" customFormat="1">
      <c r="A86" s="86"/>
    </row>
    <row r="87" spans="1:1" s="126" customFormat="1">
      <c r="A87" s="86"/>
    </row>
    <row r="88" spans="1:1" s="126" customFormat="1">
      <c r="A88" s="86"/>
    </row>
    <row r="89" spans="1:1" s="126" customFormat="1">
      <c r="A89" s="86"/>
    </row>
    <row r="90" spans="1:1" s="126" customFormat="1">
      <c r="A90" s="86"/>
    </row>
    <row r="91" spans="1:1" s="126" customFormat="1">
      <c r="A91" s="86"/>
    </row>
    <row r="92" spans="1:1" s="126" customFormat="1">
      <c r="A92" s="86"/>
    </row>
    <row r="93" spans="1:1" s="126" customFormat="1">
      <c r="A93" s="86"/>
    </row>
    <row r="94" spans="1:1" s="126" customFormat="1">
      <c r="A94" s="86"/>
    </row>
    <row r="95" spans="1:1" s="126" customFormat="1">
      <c r="A95" s="86"/>
    </row>
    <row r="96" spans="1:1" s="126" customFormat="1">
      <c r="A96" s="86"/>
    </row>
    <row r="97" spans="1:1" s="126" customFormat="1">
      <c r="A97" s="86"/>
    </row>
    <row r="98" spans="1:1" s="126" customFormat="1">
      <c r="A98" s="86"/>
    </row>
    <row r="99" spans="1:1" s="126" customFormat="1">
      <c r="A99" s="86"/>
    </row>
    <row r="100" spans="1:1" s="126" customFormat="1">
      <c r="A100" s="86"/>
    </row>
    <row r="101" spans="1:1" s="126" customFormat="1">
      <c r="A101" s="86"/>
    </row>
    <row r="102" spans="1:1" s="126" customFormat="1">
      <c r="A102" s="86"/>
    </row>
    <row r="103" spans="1:1" s="126" customFormat="1">
      <c r="A103" s="86"/>
    </row>
    <row r="104" spans="1:1" s="126" customFormat="1">
      <c r="A104" s="86"/>
    </row>
    <row r="105" spans="1:1" s="126" customFormat="1">
      <c r="A105" s="86"/>
    </row>
    <row r="106" spans="1:1" s="126" customFormat="1">
      <c r="A106" s="86"/>
    </row>
    <row r="107" spans="1:1" s="126" customFormat="1">
      <c r="A107" s="86"/>
    </row>
    <row r="108" spans="1:1" s="126" customFormat="1">
      <c r="A108" s="86"/>
    </row>
    <row r="109" spans="1:1" s="126" customFormat="1">
      <c r="A109" s="86"/>
    </row>
    <row r="110" spans="1:1" s="126" customFormat="1">
      <c r="A110" s="86"/>
    </row>
    <row r="111" spans="1:1" s="126" customFormat="1">
      <c r="A111" s="86"/>
    </row>
    <row r="112" spans="1:1" s="126" customFormat="1">
      <c r="A112" s="86"/>
    </row>
    <row r="113" spans="1:1" s="126" customFormat="1">
      <c r="A113" s="86"/>
    </row>
    <row r="114" spans="1:1" s="126" customFormat="1">
      <c r="A114" s="86"/>
    </row>
    <row r="115" spans="1:1" s="126" customFormat="1">
      <c r="A115" s="86"/>
    </row>
    <row r="116" spans="1:1" s="126" customFormat="1">
      <c r="A116" s="86"/>
    </row>
    <row r="117" spans="1:1" s="126" customFormat="1">
      <c r="A117" s="86"/>
    </row>
    <row r="118" spans="1:1" s="126" customFormat="1">
      <c r="A118" s="86"/>
    </row>
    <row r="119" spans="1:1" s="126" customFormat="1">
      <c r="A119" s="86"/>
    </row>
    <row r="120" spans="1:1" s="126" customFormat="1">
      <c r="A120" s="86"/>
    </row>
    <row r="121" spans="1:1" s="126" customFormat="1">
      <c r="A121" s="86"/>
    </row>
    <row r="122" spans="1:1" s="126" customFormat="1">
      <c r="A122" s="86"/>
    </row>
    <row r="123" spans="1:1" s="126" customFormat="1">
      <c r="A123" s="86"/>
    </row>
    <row r="124" spans="1:1" s="126" customFormat="1">
      <c r="A124" s="86"/>
    </row>
    <row r="125" spans="1:1" s="126" customFormat="1">
      <c r="A125" s="86"/>
    </row>
    <row r="126" spans="1:1" s="126" customFormat="1">
      <c r="A126" s="86"/>
    </row>
    <row r="127" spans="1:1" s="126" customFormat="1">
      <c r="A127" s="86"/>
    </row>
    <row r="128" spans="1:1" s="126" customFormat="1">
      <c r="A128" s="86"/>
    </row>
    <row r="129" spans="1:1" s="126" customFormat="1">
      <c r="A129" s="86"/>
    </row>
    <row r="130" spans="1:1" s="126" customFormat="1">
      <c r="A130" s="86"/>
    </row>
    <row r="131" spans="1:1" s="126" customFormat="1">
      <c r="A131" s="86"/>
    </row>
    <row r="132" spans="1:1" s="126" customFormat="1">
      <c r="A132" s="86"/>
    </row>
    <row r="133" spans="1:1" s="126" customFormat="1">
      <c r="A133" s="86"/>
    </row>
    <row r="134" spans="1:1" s="126" customFormat="1">
      <c r="A134" s="86"/>
    </row>
    <row r="135" spans="1:1" s="126" customFormat="1">
      <c r="A135" s="86"/>
    </row>
    <row r="136" spans="1:1" s="126" customFormat="1">
      <c r="A136" s="86"/>
    </row>
    <row r="137" spans="1:1" s="126" customFormat="1">
      <c r="A137" s="86"/>
    </row>
    <row r="138" spans="1:1" s="126" customFormat="1">
      <c r="A138" s="86"/>
    </row>
    <row r="139" spans="1:1" s="126" customFormat="1">
      <c r="A139" s="86"/>
    </row>
    <row r="140" spans="1:1" s="126" customFormat="1">
      <c r="A140" s="86"/>
    </row>
    <row r="141" spans="1:1" s="126" customFormat="1">
      <c r="A141" s="86"/>
    </row>
    <row r="142" spans="1:1" s="126" customFormat="1">
      <c r="A142" s="86"/>
    </row>
    <row r="143" spans="1:1" s="126" customFormat="1">
      <c r="A143" s="86"/>
    </row>
    <row r="144" spans="1:1" s="126" customFormat="1">
      <c r="A144" s="86"/>
    </row>
    <row r="145" spans="1:1" s="126" customFormat="1">
      <c r="A145" s="86"/>
    </row>
    <row r="146" spans="1:1" s="126" customFormat="1">
      <c r="A146" s="86"/>
    </row>
    <row r="147" spans="1:1" s="126" customFormat="1">
      <c r="A147" s="86"/>
    </row>
    <row r="148" spans="1:1" s="126" customFormat="1">
      <c r="A148" s="86"/>
    </row>
    <row r="149" spans="1:1" s="126" customFormat="1">
      <c r="A149" s="86"/>
    </row>
    <row r="150" spans="1:1" s="126" customFormat="1">
      <c r="A150" s="86"/>
    </row>
    <row r="151" spans="1:1" s="126" customFormat="1">
      <c r="A151" s="86"/>
    </row>
    <row r="152" spans="1:1" s="126" customFormat="1">
      <c r="A152" s="86"/>
    </row>
    <row r="153" spans="1:1" s="126" customFormat="1">
      <c r="A153" s="86"/>
    </row>
    <row r="154" spans="1:1" s="126" customFormat="1">
      <c r="A154" s="86"/>
    </row>
    <row r="155" spans="1:1" s="126" customFormat="1">
      <c r="A155" s="86"/>
    </row>
    <row r="156" spans="1:1" s="126" customFormat="1">
      <c r="A156" s="86"/>
    </row>
    <row r="157" spans="1:1" s="126" customFormat="1">
      <c r="A157" s="86"/>
    </row>
    <row r="158" spans="1:1" s="126" customFormat="1">
      <c r="A158" s="86"/>
    </row>
    <row r="159" spans="1:1" s="126" customFormat="1">
      <c r="A159" s="86"/>
    </row>
    <row r="160" spans="1:1" s="126" customFormat="1">
      <c r="A160" s="86"/>
    </row>
    <row r="161" spans="1:1" s="126" customFormat="1">
      <c r="A161" s="86"/>
    </row>
    <row r="162" spans="1:1" s="126" customFormat="1">
      <c r="A162" s="86"/>
    </row>
    <row r="163" spans="1:1" s="126" customFormat="1">
      <c r="A163" s="86"/>
    </row>
    <row r="164" spans="1:1" s="126" customFormat="1">
      <c r="A164" s="86"/>
    </row>
    <row r="165" spans="1:1" s="126" customFormat="1">
      <c r="A165" s="86"/>
    </row>
    <row r="166" spans="1:1" s="126" customFormat="1">
      <c r="A166" s="86"/>
    </row>
    <row r="167" spans="1:1" s="126" customFormat="1">
      <c r="A167" s="86"/>
    </row>
    <row r="168" spans="1:1" s="126" customFormat="1">
      <c r="A168" s="86"/>
    </row>
    <row r="169" spans="1:1" s="126" customFormat="1">
      <c r="A169" s="86"/>
    </row>
    <row r="170" spans="1:1" s="126" customFormat="1">
      <c r="A170" s="86"/>
    </row>
    <row r="171" spans="1:1" s="126" customFormat="1">
      <c r="A171" s="86"/>
    </row>
    <row r="172" spans="1:1" s="126" customFormat="1">
      <c r="A172" s="86"/>
    </row>
    <row r="173" spans="1:1" s="126" customFormat="1">
      <c r="A173" s="86"/>
    </row>
    <row r="174" spans="1:1" s="126" customFormat="1">
      <c r="A174" s="86"/>
    </row>
    <row r="175" spans="1:1" s="126" customFormat="1">
      <c r="A175" s="86"/>
    </row>
    <row r="176" spans="1:1" s="126" customFormat="1">
      <c r="A176" s="86"/>
    </row>
    <row r="177" spans="1:1" s="126" customFormat="1">
      <c r="A177" s="86"/>
    </row>
    <row r="178" spans="1:1" s="126" customFormat="1">
      <c r="A178" s="86"/>
    </row>
    <row r="179" spans="1:1" s="126" customFormat="1">
      <c r="A179" s="86"/>
    </row>
    <row r="180" spans="1:1" s="126" customFormat="1">
      <c r="A180" s="86"/>
    </row>
    <row r="181" spans="1:1" s="126" customFormat="1">
      <c r="A181" s="86"/>
    </row>
    <row r="182" spans="1:1" s="126" customFormat="1">
      <c r="A182" s="86"/>
    </row>
    <row r="183" spans="1:1" s="126" customFormat="1">
      <c r="A183" s="86"/>
    </row>
    <row r="184" spans="1:1" s="126" customFormat="1">
      <c r="A184" s="86"/>
    </row>
    <row r="185" spans="1:1" s="126" customFormat="1">
      <c r="A185" s="86"/>
    </row>
    <row r="186" spans="1:1" s="126" customFormat="1">
      <c r="A186" s="86"/>
    </row>
    <row r="187" spans="1:1" s="126" customFormat="1">
      <c r="A187" s="86"/>
    </row>
    <row r="188" spans="1:1" s="126" customFormat="1">
      <c r="A188" s="86"/>
    </row>
    <row r="189" spans="1:1" s="126" customFormat="1">
      <c r="A189" s="86"/>
    </row>
    <row r="190" spans="1:1" s="126" customFormat="1">
      <c r="A190" s="86"/>
    </row>
    <row r="191" spans="1:1" s="126" customFormat="1">
      <c r="A191" s="86"/>
    </row>
    <row r="192" spans="1:1" s="126" customFormat="1">
      <c r="A192" s="86"/>
    </row>
    <row r="193" spans="1:1" s="126" customFormat="1">
      <c r="A193" s="86"/>
    </row>
    <row r="194" spans="1:1" s="126" customFormat="1">
      <c r="A194" s="86"/>
    </row>
    <row r="195" spans="1:1" s="126" customFormat="1">
      <c r="A195" s="86"/>
    </row>
    <row r="196" spans="1:1" s="126" customFormat="1">
      <c r="A196" s="86"/>
    </row>
    <row r="197" spans="1:1" s="126" customFormat="1">
      <c r="A197" s="86"/>
    </row>
    <row r="198" spans="1:1" s="126" customFormat="1">
      <c r="A198" s="86"/>
    </row>
    <row r="199" spans="1:1" s="126" customFormat="1">
      <c r="A199" s="86"/>
    </row>
    <row r="200" spans="1:1" s="126" customFormat="1">
      <c r="A200" s="86"/>
    </row>
    <row r="201" spans="1:1" s="126" customFormat="1">
      <c r="A201" s="86"/>
    </row>
    <row r="202" spans="1:1" s="126" customFormat="1">
      <c r="A202" s="86"/>
    </row>
    <row r="203" spans="1:1" s="126" customFormat="1">
      <c r="A203" s="86"/>
    </row>
    <row r="204" spans="1:1" s="126" customFormat="1">
      <c r="A204" s="86"/>
    </row>
    <row r="205" spans="1:1" s="126" customFormat="1">
      <c r="A205" s="86"/>
    </row>
    <row r="206" spans="1:1" s="126" customFormat="1">
      <c r="A206" s="86"/>
    </row>
    <row r="207" spans="1:1" s="126" customFormat="1">
      <c r="A207" s="86"/>
    </row>
    <row r="208" spans="1:1" s="126" customFormat="1">
      <c r="A208" s="86"/>
    </row>
    <row r="209" spans="1:1" s="126" customFormat="1">
      <c r="A209" s="86"/>
    </row>
    <row r="210" spans="1:1" s="126" customFormat="1">
      <c r="A210" s="86"/>
    </row>
    <row r="211" spans="1:1" s="126" customFormat="1">
      <c r="A211" s="86"/>
    </row>
    <row r="212" spans="1:1" s="126" customFormat="1">
      <c r="A212" s="86"/>
    </row>
    <row r="213" spans="1:1" s="126" customFormat="1">
      <c r="A213" s="86"/>
    </row>
    <row r="214" spans="1:1" s="126" customFormat="1">
      <c r="A214" s="86"/>
    </row>
    <row r="215" spans="1:1" s="126" customFormat="1">
      <c r="A215" s="86"/>
    </row>
    <row r="216" spans="1:1" s="126" customFormat="1">
      <c r="A216" s="86"/>
    </row>
    <row r="217" spans="1:1" s="126" customFormat="1">
      <c r="A217" s="86"/>
    </row>
    <row r="218" spans="1:1" s="126" customFormat="1">
      <c r="A218" s="86"/>
    </row>
    <row r="219" spans="1:1" s="126" customFormat="1">
      <c r="A219" s="86"/>
    </row>
    <row r="220" spans="1:1" s="126" customFormat="1">
      <c r="A220" s="86"/>
    </row>
    <row r="221" spans="1:1" s="126" customFormat="1">
      <c r="A221" s="86"/>
    </row>
    <row r="222" spans="1:1" s="126" customFormat="1">
      <c r="A222" s="86"/>
    </row>
    <row r="223" spans="1:1" s="126" customFormat="1">
      <c r="A223" s="86"/>
    </row>
    <row r="224" spans="1:1" s="126" customFormat="1">
      <c r="A224" s="86"/>
    </row>
    <row r="225" spans="1:1" s="126" customFormat="1">
      <c r="A225" s="86"/>
    </row>
    <row r="226" spans="1:1" s="126" customFormat="1">
      <c r="A226" s="86"/>
    </row>
    <row r="227" spans="1:1" s="126" customFormat="1">
      <c r="A227" s="86"/>
    </row>
    <row r="228" spans="1:1" s="126" customFormat="1">
      <c r="A228" s="86"/>
    </row>
    <row r="229" spans="1:1" s="126" customFormat="1">
      <c r="A229" s="86"/>
    </row>
    <row r="230" spans="1:1" s="126" customFormat="1">
      <c r="A230" s="86"/>
    </row>
    <row r="231" spans="1:1" s="126" customFormat="1">
      <c r="A231" s="86"/>
    </row>
    <row r="232" spans="1:1" s="126" customFormat="1">
      <c r="A232" s="86"/>
    </row>
    <row r="233" spans="1:1" s="126" customFormat="1">
      <c r="A233" s="86"/>
    </row>
    <row r="234" spans="1:1" s="126" customFormat="1">
      <c r="A234" s="86"/>
    </row>
    <row r="235" spans="1:1" s="126" customFormat="1">
      <c r="A235" s="86"/>
    </row>
    <row r="236" spans="1:1" s="126" customFormat="1">
      <c r="A236" s="86"/>
    </row>
    <row r="237" spans="1:1" s="126" customFormat="1">
      <c r="A237" s="86"/>
    </row>
    <row r="238" spans="1:1" s="126" customFormat="1">
      <c r="A238" s="86"/>
    </row>
    <row r="239" spans="1:1" s="126" customFormat="1">
      <c r="A239" s="86"/>
    </row>
    <row r="240" spans="1:1" s="126" customFormat="1">
      <c r="A240" s="86"/>
    </row>
    <row r="241" spans="1:1" s="126" customFormat="1">
      <c r="A241" s="86"/>
    </row>
    <row r="242" spans="1:1" s="126" customFormat="1">
      <c r="A242" s="86"/>
    </row>
    <row r="243" spans="1:1" s="126" customFormat="1">
      <c r="A243" s="86"/>
    </row>
    <row r="244" spans="1:1" s="126" customFormat="1">
      <c r="A244" s="86"/>
    </row>
    <row r="245" spans="1:1" s="126" customFormat="1">
      <c r="A245" s="86"/>
    </row>
    <row r="246" spans="1:1" s="126" customFormat="1">
      <c r="A246" s="86"/>
    </row>
    <row r="247" spans="1:1" s="126" customFormat="1">
      <c r="A247" s="86"/>
    </row>
    <row r="248" spans="1:1" s="126" customFormat="1">
      <c r="A248" s="86"/>
    </row>
    <row r="249" spans="1:1" s="126" customFormat="1">
      <c r="A249" s="86"/>
    </row>
    <row r="250" spans="1:1" s="126" customFormat="1">
      <c r="A250" s="86"/>
    </row>
    <row r="251" spans="1:1" s="126" customFormat="1">
      <c r="A251" s="86"/>
    </row>
    <row r="252" spans="1:1" s="126" customFormat="1">
      <c r="A252" s="86"/>
    </row>
    <row r="253" spans="1:1" s="126" customFormat="1">
      <c r="A253" s="86"/>
    </row>
    <row r="254" spans="1:1" s="126" customFormat="1">
      <c r="A254" s="86"/>
    </row>
    <row r="255" spans="1:1" s="126" customFormat="1">
      <c r="A255" s="86"/>
    </row>
    <row r="256" spans="1:1" s="126" customFormat="1">
      <c r="A256" s="86"/>
    </row>
    <row r="257" spans="1:1" s="126" customFormat="1">
      <c r="A257" s="86"/>
    </row>
    <row r="258" spans="1:1" s="126" customFormat="1">
      <c r="A258" s="86"/>
    </row>
    <row r="259" spans="1:1" s="126" customFormat="1">
      <c r="A259" s="86"/>
    </row>
    <row r="260" spans="1:1" s="126" customFormat="1">
      <c r="A260" s="86"/>
    </row>
    <row r="261" spans="1:1" s="126" customFormat="1">
      <c r="A261" s="86"/>
    </row>
    <row r="262" spans="1:1" s="126" customFormat="1">
      <c r="A262" s="86"/>
    </row>
    <row r="263" spans="1:1" s="126" customFormat="1">
      <c r="A263" s="86"/>
    </row>
    <row r="264" spans="1:1" s="126" customFormat="1">
      <c r="A264" s="86"/>
    </row>
    <row r="265" spans="1:1" s="126" customFormat="1">
      <c r="A265" s="86"/>
    </row>
    <row r="266" spans="1:1" s="126" customFormat="1">
      <c r="A266" s="86"/>
    </row>
    <row r="267" spans="1:1" s="126" customFormat="1">
      <c r="A267" s="86"/>
    </row>
    <row r="268" spans="1:1" s="126" customFormat="1">
      <c r="A268" s="86"/>
    </row>
    <row r="269" spans="1:1" s="126" customFormat="1">
      <c r="A269" s="86"/>
    </row>
    <row r="270" spans="1:1" s="126" customFormat="1">
      <c r="A270" s="86"/>
    </row>
    <row r="271" spans="1:1" s="126" customFormat="1">
      <c r="A271" s="86"/>
    </row>
    <row r="272" spans="1:1" s="126" customFormat="1">
      <c r="A272" s="86"/>
    </row>
    <row r="273" spans="1:1" s="126" customFormat="1">
      <c r="A273" s="86"/>
    </row>
    <row r="274" spans="1:1" s="126" customFormat="1">
      <c r="A274" s="86"/>
    </row>
    <row r="275" spans="1:1" s="126" customFormat="1">
      <c r="A275" s="86"/>
    </row>
    <row r="276" spans="1:1" s="126" customFormat="1">
      <c r="A276" s="86"/>
    </row>
    <row r="277" spans="1:1" s="126" customFormat="1">
      <c r="A277" s="86"/>
    </row>
    <row r="278" spans="1:1" s="126" customFormat="1">
      <c r="A278" s="86"/>
    </row>
    <row r="279" spans="1:1" s="126" customFormat="1">
      <c r="A279" s="86"/>
    </row>
    <row r="280" spans="1:1" s="126" customFormat="1">
      <c r="A280" s="86"/>
    </row>
    <row r="281" spans="1:1" s="126" customFormat="1">
      <c r="A281" s="86"/>
    </row>
    <row r="282" spans="1:1" s="126" customFormat="1">
      <c r="A282" s="86"/>
    </row>
    <row r="283" spans="1:1" s="126" customFormat="1">
      <c r="A283" s="86"/>
    </row>
    <row r="284" spans="1:1" s="126" customFormat="1">
      <c r="A284" s="86"/>
    </row>
    <row r="285" spans="1:1" s="126" customFormat="1">
      <c r="A285" s="86"/>
    </row>
    <row r="286" spans="1:1" s="126" customFormat="1">
      <c r="A286" s="86"/>
    </row>
    <row r="287" spans="1:1" s="126" customFormat="1">
      <c r="A287" s="86"/>
    </row>
    <row r="288" spans="1:1" s="126" customFormat="1">
      <c r="A288" s="86"/>
    </row>
    <row r="289" spans="1:1" s="126" customFormat="1">
      <c r="A289" s="86"/>
    </row>
    <row r="290" spans="1:1" s="126" customFormat="1">
      <c r="A290" s="86"/>
    </row>
    <row r="291" spans="1:1" s="126" customFormat="1">
      <c r="A291" s="86"/>
    </row>
    <row r="292" spans="1:1" s="126" customFormat="1">
      <c r="A292" s="86"/>
    </row>
    <row r="293" spans="1:1" s="126" customFormat="1">
      <c r="A293" s="86"/>
    </row>
    <row r="294" spans="1:1" s="126" customFormat="1">
      <c r="A294" s="86"/>
    </row>
    <row r="295" spans="1:1" s="126" customFormat="1">
      <c r="A295" s="86"/>
    </row>
    <row r="296" spans="1:1" s="126" customFormat="1">
      <c r="A296" s="86"/>
    </row>
    <row r="297" spans="1:1" s="126" customFormat="1">
      <c r="A297" s="86"/>
    </row>
    <row r="298" spans="1:1" s="126" customFormat="1">
      <c r="A298" s="86"/>
    </row>
    <row r="299" spans="1:1" s="126" customFormat="1">
      <c r="A299" s="86"/>
    </row>
    <row r="300" spans="1:1" s="126" customFormat="1">
      <c r="A300" s="86"/>
    </row>
    <row r="301" spans="1:1" s="126" customFormat="1">
      <c r="A301" s="86"/>
    </row>
    <row r="302" spans="1:1" s="126" customFormat="1">
      <c r="A302" s="86"/>
    </row>
    <row r="303" spans="1:1" s="126" customFormat="1">
      <c r="A303" s="86"/>
    </row>
    <row r="304" spans="1:1" s="126" customFormat="1">
      <c r="A304" s="86"/>
    </row>
    <row r="305" spans="1:1" s="126" customFormat="1">
      <c r="A305" s="86"/>
    </row>
    <row r="306" spans="1:1" s="126" customFormat="1">
      <c r="A306" s="86"/>
    </row>
    <row r="307" spans="1:1" s="126" customFormat="1">
      <c r="A307" s="86"/>
    </row>
    <row r="308" spans="1:1" s="126" customFormat="1">
      <c r="A308" s="86"/>
    </row>
    <row r="309" spans="1:1" s="126" customFormat="1">
      <c r="A309" s="86"/>
    </row>
    <row r="310" spans="1:1" s="126" customFormat="1">
      <c r="A310" s="86"/>
    </row>
    <row r="311" spans="1:1" s="126" customFormat="1">
      <c r="A311" s="86"/>
    </row>
    <row r="312" spans="1:1" s="126" customFormat="1">
      <c r="A312" s="86"/>
    </row>
    <row r="313" spans="1:1" s="126" customFormat="1">
      <c r="A313" s="86"/>
    </row>
    <row r="314" spans="1:1" s="126" customFormat="1">
      <c r="A314" s="86"/>
    </row>
    <row r="315" spans="1:1" s="126" customFormat="1">
      <c r="A315" s="86"/>
    </row>
    <row r="316" spans="1:1" s="126" customFormat="1">
      <c r="A316" s="86"/>
    </row>
    <row r="317" spans="1:1" s="126" customFormat="1">
      <c r="A317" s="86"/>
    </row>
    <row r="318" spans="1:1" s="126" customFormat="1">
      <c r="A318" s="86"/>
    </row>
    <row r="319" spans="1:1" s="126" customFormat="1">
      <c r="A319" s="86"/>
    </row>
    <row r="320" spans="1:1" s="126" customFormat="1">
      <c r="A320" s="86"/>
    </row>
    <row r="321" spans="1:1" s="126" customFormat="1">
      <c r="A321" s="86"/>
    </row>
    <row r="322" spans="1:1" s="126" customFormat="1">
      <c r="A322" s="86"/>
    </row>
    <row r="323" spans="1:1" s="126" customFormat="1">
      <c r="A323" s="86"/>
    </row>
    <row r="324" spans="1:1" s="126" customFormat="1">
      <c r="A324" s="86"/>
    </row>
    <row r="325" spans="1:1" s="126" customFormat="1">
      <c r="A325" s="86"/>
    </row>
    <row r="326" spans="1:1" s="126" customFormat="1">
      <c r="A326" s="86"/>
    </row>
    <row r="327" spans="1:1" s="126" customFormat="1">
      <c r="A327" s="86"/>
    </row>
    <row r="328" spans="1:1" s="126" customFormat="1">
      <c r="A328" s="86"/>
    </row>
    <row r="329" spans="1:1" s="126" customFormat="1">
      <c r="A329" s="86"/>
    </row>
    <row r="330" spans="1:1" s="126" customFormat="1">
      <c r="A330" s="86"/>
    </row>
    <row r="331" spans="1:1" s="126" customFormat="1">
      <c r="A331" s="86"/>
    </row>
    <row r="332" spans="1:1" s="126" customFormat="1">
      <c r="A332" s="86"/>
    </row>
    <row r="333" spans="1:1" s="126" customFormat="1">
      <c r="A333" s="86"/>
    </row>
    <row r="334" spans="1:1" s="126" customFormat="1">
      <c r="A334" s="86"/>
    </row>
    <row r="335" spans="1:1" s="126" customFormat="1">
      <c r="A335" s="86"/>
    </row>
    <row r="336" spans="1:1" s="126" customFormat="1">
      <c r="A336" s="86"/>
    </row>
    <row r="337" spans="1:1" s="126" customFormat="1">
      <c r="A337" s="86"/>
    </row>
    <row r="338" spans="1:1" s="126" customFormat="1">
      <c r="A338" s="86"/>
    </row>
    <row r="339" spans="1:1" s="126" customFormat="1">
      <c r="A339" s="86"/>
    </row>
    <row r="340" spans="1:1" s="126" customFormat="1">
      <c r="A340" s="86"/>
    </row>
    <row r="341" spans="1:1" s="126" customFormat="1">
      <c r="A341" s="86"/>
    </row>
    <row r="342" spans="1:1" s="126" customFormat="1">
      <c r="A342" s="86"/>
    </row>
    <row r="343" spans="1:1" s="126" customFormat="1">
      <c r="A343" s="86"/>
    </row>
    <row r="344" spans="1:1" s="126" customFormat="1">
      <c r="A344" s="86"/>
    </row>
    <row r="345" spans="1:1" s="126" customFormat="1">
      <c r="A345" s="86"/>
    </row>
    <row r="346" spans="1:1" s="126" customFormat="1">
      <c r="A346" s="86"/>
    </row>
    <row r="347" spans="1:1" s="126" customFormat="1">
      <c r="A347" s="86"/>
    </row>
    <row r="348" spans="1:1" s="126" customFormat="1">
      <c r="A348" s="86"/>
    </row>
    <row r="349" spans="1:1" s="126" customFormat="1">
      <c r="A349" s="86"/>
    </row>
    <row r="350" spans="1:1" s="126" customFormat="1">
      <c r="A350" s="86"/>
    </row>
    <row r="351" spans="1:1" s="126" customFormat="1">
      <c r="A351" s="86"/>
    </row>
    <row r="352" spans="1:1" s="126" customFormat="1">
      <c r="A352" s="86"/>
    </row>
    <row r="353" spans="1:1" s="126" customFormat="1">
      <c r="A353" s="86"/>
    </row>
    <row r="354" spans="1:1" s="126" customFormat="1">
      <c r="A354" s="86"/>
    </row>
    <row r="355" spans="1:1" s="126" customFormat="1">
      <c r="A355" s="86"/>
    </row>
    <row r="356" spans="1:1" s="126" customFormat="1">
      <c r="A356" s="86"/>
    </row>
    <row r="357" spans="1:1" s="126" customFormat="1">
      <c r="A357" s="86"/>
    </row>
    <row r="358" spans="1:1" s="126" customFormat="1">
      <c r="A358" s="86"/>
    </row>
    <row r="359" spans="1:1" s="126" customFormat="1">
      <c r="A359" s="86"/>
    </row>
    <row r="360" spans="1:1" s="126" customFormat="1">
      <c r="A360" s="86"/>
    </row>
    <row r="361" spans="1:1" s="126" customFormat="1">
      <c r="A361" s="86"/>
    </row>
    <row r="362" spans="1:1" s="126" customFormat="1">
      <c r="A362" s="86"/>
    </row>
    <row r="363" spans="1:1" s="126" customFormat="1">
      <c r="A363" s="86"/>
    </row>
    <row r="364" spans="1:1" s="126" customFormat="1">
      <c r="A364" s="86"/>
    </row>
    <row r="365" spans="1:1" s="126" customFormat="1">
      <c r="A365" s="86"/>
    </row>
    <row r="366" spans="1:1" s="126" customFormat="1">
      <c r="A366" s="86"/>
    </row>
    <row r="367" spans="1:1" s="126" customFormat="1">
      <c r="A367" s="86"/>
    </row>
    <row r="368" spans="1:1" s="126" customFormat="1">
      <c r="A368" s="86"/>
    </row>
    <row r="369" spans="1:1" s="126" customFormat="1">
      <c r="A369" s="86"/>
    </row>
    <row r="370" spans="1:1" s="126" customFormat="1">
      <c r="A370" s="86"/>
    </row>
    <row r="371" spans="1:1" s="126" customFormat="1">
      <c r="A371" s="86"/>
    </row>
    <row r="372" spans="1:1" s="126" customFormat="1">
      <c r="A372" s="86"/>
    </row>
    <row r="373" spans="1:1" s="126" customFormat="1">
      <c r="A373" s="86"/>
    </row>
    <row r="374" spans="1:1" s="126" customFormat="1">
      <c r="A374" s="86"/>
    </row>
    <row r="375" spans="1:1" s="126" customFormat="1">
      <c r="A375" s="86"/>
    </row>
    <row r="376" spans="1:1" s="126" customFormat="1">
      <c r="A376" s="86"/>
    </row>
    <row r="377" spans="1:1" s="126" customFormat="1">
      <c r="A377" s="86"/>
    </row>
    <row r="378" spans="1:1" s="126" customFormat="1">
      <c r="A378" s="86"/>
    </row>
    <row r="379" spans="1:1" s="126" customFormat="1">
      <c r="A379" s="86"/>
    </row>
    <row r="380" spans="1:1" s="126" customFormat="1">
      <c r="A380" s="86"/>
    </row>
    <row r="381" spans="1:1" s="126" customFormat="1">
      <c r="A381" s="86"/>
    </row>
    <row r="382" spans="1:1" s="126" customFormat="1">
      <c r="A382" s="86"/>
    </row>
    <row r="383" spans="1:1" s="126" customFormat="1">
      <c r="A383" s="86"/>
    </row>
    <row r="384" spans="1:1" s="126" customFormat="1">
      <c r="A384" s="86"/>
    </row>
    <row r="385" spans="1:1" s="126" customFormat="1">
      <c r="A385" s="86"/>
    </row>
    <row r="386" spans="1:1" s="126" customFormat="1">
      <c r="A386" s="86"/>
    </row>
    <row r="387" spans="1:1" s="126" customFormat="1">
      <c r="A387" s="86"/>
    </row>
    <row r="388" spans="1:1" s="126" customFormat="1">
      <c r="A388" s="86"/>
    </row>
    <row r="389" spans="1:1" s="126" customFormat="1">
      <c r="A389" s="86"/>
    </row>
    <row r="390" spans="1:1" s="126" customFormat="1">
      <c r="A390" s="86"/>
    </row>
    <row r="391" spans="1:1" s="126" customFormat="1">
      <c r="A391" s="86"/>
    </row>
    <row r="392" spans="1:1" s="126" customFormat="1">
      <c r="A392" s="86"/>
    </row>
    <row r="393" spans="1:1" s="126" customFormat="1">
      <c r="A393" s="86"/>
    </row>
    <row r="394" spans="1:1" s="126" customFormat="1">
      <c r="A394" s="86"/>
    </row>
    <row r="395" spans="1:1" s="126" customFormat="1">
      <c r="A395" s="86"/>
    </row>
    <row r="396" spans="1:1" s="126" customFormat="1">
      <c r="A396" s="86"/>
    </row>
    <row r="397" spans="1:1" s="126" customFormat="1">
      <c r="A397" s="86"/>
    </row>
    <row r="398" spans="1:1" s="126" customFormat="1">
      <c r="A398" s="86"/>
    </row>
    <row r="399" spans="1:1" s="126" customFormat="1">
      <c r="A399" s="86"/>
    </row>
    <row r="400" spans="1:1" s="126" customFormat="1">
      <c r="A400" s="86"/>
    </row>
    <row r="401" spans="1:1" s="126" customFormat="1">
      <c r="A401" s="86"/>
    </row>
    <row r="402" spans="1:1" s="126" customFormat="1">
      <c r="A402" s="86"/>
    </row>
    <row r="403" spans="1:1" s="126" customFormat="1">
      <c r="A403" s="86"/>
    </row>
    <row r="404" spans="1:1" s="126" customFormat="1">
      <c r="A404" s="86"/>
    </row>
    <row r="405" spans="1:1" s="126" customFormat="1">
      <c r="A405" s="86"/>
    </row>
    <row r="406" spans="1:1" s="126" customFormat="1">
      <c r="A406" s="86"/>
    </row>
    <row r="407" spans="1:1" s="126" customFormat="1">
      <c r="A407" s="86"/>
    </row>
    <row r="408" spans="1:1" s="126" customFormat="1">
      <c r="A408" s="86"/>
    </row>
    <row r="409" spans="1:1" s="126" customFormat="1">
      <c r="A409" s="86"/>
    </row>
    <row r="410" spans="1:1" s="126" customFormat="1">
      <c r="A410" s="86"/>
    </row>
    <row r="411" spans="1:1" s="126" customFormat="1">
      <c r="A411" s="86"/>
    </row>
    <row r="412" spans="1:1" s="126" customFormat="1">
      <c r="A412" s="86"/>
    </row>
    <row r="413" spans="1:1" s="126" customFormat="1">
      <c r="A413" s="86"/>
    </row>
    <row r="414" spans="1:1" s="126" customFormat="1">
      <c r="A414" s="86"/>
    </row>
    <row r="415" spans="1:1" s="126" customFormat="1">
      <c r="A415" s="86"/>
    </row>
    <row r="416" spans="1:1" s="126" customFormat="1">
      <c r="A416" s="86"/>
    </row>
    <row r="417" spans="1:1" s="126" customFormat="1">
      <c r="A417" s="86"/>
    </row>
    <row r="418" spans="1:1" s="126" customFormat="1">
      <c r="A418" s="86"/>
    </row>
    <row r="419" spans="1:1" s="126" customFormat="1">
      <c r="A419" s="86"/>
    </row>
    <row r="420" spans="1:1" s="126" customFormat="1">
      <c r="A420" s="86"/>
    </row>
    <row r="421" spans="1:1" s="126" customFormat="1">
      <c r="A421" s="86"/>
    </row>
    <row r="422" spans="1:1" s="126" customFormat="1">
      <c r="A422" s="86"/>
    </row>
    <row r="423" spans="1:1" s="126" customFormat="1">
      <c r="A423" s="86"/>
    </row>
    <row r="424" spans="1:1" s="126" customFormat="1">
      <c r="A424" s="86"/>
    </row>
    <row r="425" spans="1:1" s="126" customFormat="1">
      <c r="A425" s="86"/>
    </row>
    <row r="426" spans="1:1" s="126" customFormat="1">
      <c r="A426" s="86"/>
    </row>
    <row r="427" spans="1:1" s="126" customFormat="1">
      <c r="A427" s="86"/>
    </row>
    <row r="428" spans="1:1" s="126" customFormat="1">
      <c r="A428" s="86"/>
    </row>
    <row r="429" spans="1:1" s="126" customFormat="1">
      <c r="A429" s="86"/>
    </row>
    <row r="430" spans="1:1" s="126" customFormat="1">
      <c r="A430" s="86"/>
    </row>
    <row r="431" spans="1:1" s="126" customFormat="1">
      <c r="A431" s="86"/>
    </row>
    <row r="432" spans="1:1" s="126" customFormat="1">
      <c r="A432" s="86"/>
    </row>
    <row r="433" spans="1:1" s="126" customFormat="1">
      <c r="A433" s="86"/>
    </row>
    <row r="434" spans="1:1" s="126" customFormat="1">
      <c r="A434" s="86"/>
    </row>
    <row r="435" spans="1:1" s="126" customFormat="1">
      <c r="A435" s="86"/>
    </row>
    <row r="436" spans="1:1" s="126" customFormat="1">
      <c r="A436" s="86"/>
    </row>
    <row r="437" spans="1:1" s="126" customFormat="1">
      <c r="A437" s="86"/>
    </row>
    <row r="438" spans="1:1" s="126" customFormat="1">
      <c r="A438" s="86"/>
    </row>
    <row r="439" spans="1:1" s="126" customFormat="1">
      <c r="A439" s="86"/>
    </row>
    <row r="440" spans="1:1" s="126" customFormat="1">
      <c r="A440" s="86"/>
    </row>
    <row r="441" spans="1:1" s="126" customFormat="1">
      <c r="A441" s="86"/>
    </row>
    <row r="442" spans="1:1" s="126" customFormat="1">
      <c r="A442" s="86"/>
    </row>
    <row r="443" spans="1:1" s="126" customFormat="1">
      <c r="A443" s="86"/>
    </row>
    <row r="444" spans="1:1" s="126" customFormat="1">
      <c r="A444" s="86"/>
    </row>
    <row r="445" spans="1:1" s="126" customFormat="1">
      <c r="A445" s="86"/>
    </row>
    <row r="446" spans="1:1" s="126" customFormat="1">
      <c r="A446" s="86"/>
    </row>
    <row r="447" spans="1:1" s="126" customFormat="1">
      <c r="A447" s="86"/>
    </row>
    <row r="448" spans="1:1" s="126" customFormat="1">
      <c r="A448" s="86"/>
    </row>
    <row r="449" spans="1:1" s="126" customFormat="1">
      <c r="A449" s="86"/>
    </row>
    <row r="450" spans="1:1" s="126" customFormat="1">
      <c r="A450" s="86"/>
    </row>
    <row r="451" spans="1:1" s="126" customFormat="1">
      <c r="A451" s="86"/>
    </row>
    <row r="452" spans="1:1" s="126" customFormat="1">
      <c r="A452" s="86"/>
    </row>
    <row r="453" spans="1:1" s="126" customFormat="1">
      <c r="A453" s="86"/>
    </row>
    <row r="454" spans="1:1" s="126" customFormat="1">
      <c r="A454" s="86"/>
    </row>
    <row r="455" spans="1:1" s="126" customFormat="1">
      <c r="A455" s="86"/>
    </row>
    <row r="456" spans="1:1" s="126" customFormat="1">
      <c r="A456" s="86"/>
    </row>
    <row r="457" spans="1:1" s="126" customFormat="1">
      <c r="A457" s="86"/>
    </row>
    <row r="458" spans="1:1" s="126" customFormat="1">
      <c r="A458" s="86"/>
    </row>
    <row r="459" spans="1:1" s="126" customFormat="1">
      <c r="A459" s="86"/>
    </row>
    <row r="460" spans="1:1" s="126" customFormat="1">
      <c r="A460" s="86"/>
    </row>
    <row r="461" spans="1:1" s="126" customFormat="1">
      <c r="A461" s="86"/>
    </row>
    <row r="462" spans="1:1" s="126" customFormat="1">
      <c r="A462" s="86"/>
    </row>
    <row r="463" spans="1:1" s="126" customFormat="1">
      <c r="A463" s="86"/>
    </row>
    <row r="464" spans="1:1" s="126" customFormat="1">
      <c r="A464" s="86"/>
    </row>
    <row r="465" spans="1:1" s="126" customFormat="1">
      <c r="A465" s="86"/>
    </row>
    <row r="466" spans="1:1" s="126" customFormat="1">
      <c r="A466" s="86"/>
    </row>
    <row r="467" spans="1:1" s="126" customFormat="1">
      <c r="A467" s="86"/>
    </row>
    <row r="468" spans="1:1" s="126" customFormat="1">
      <c r="A468" s="86"/>
    </row>
    <row r="469" spans="1:1" s="126" customFormat="1">
      <c r="A469" s="86"/>
    </row>
    <row r="470" spans="1:1" s="126" customFormat="1">
      <c r="A470" s="86"/>
    </row>
    <row r="471" spans="1:1" s="126" customFormat="1">
      <c r="A471" s="86"/>
    </row>
    <row r="472" spans="1:1" s="126" customFormat="1">
      <c r="A472" s="86"/>
    </row>
    <row r="473" spans="1:1" s="126" customFormat="1">
      <c r="A473" s="86"/>
    </row>
    <row r="474" spans="1:1" s="126" customFormat="1">
      <c r="A474" s="86"/>
    </row>
    <row r="475" spans="1:1" s="126" customFormat="1">
      <c r="A475" s="86"/>
    </row>
    <row r="476" spans="1:1" s="126" customFormat="1">
      <c r="A476" s="86"/>
    </row>
    <row r="477" spans="1:1" s="126" customFormat="1">
      <c r="A477" s="86"/>
    </row>
    <row r="478" spans="1:1" s="126" customFormat="1">
      <c r="A478" s="86"/>
    </row>
    <row r="479" spans="1:1" s="126" customFormat="1">
      <c r="A479" s="86"/>
    </row>
    <row r="480" spans="1:1" s="126" customFormat="1">
      <c r="A480" s="86"/>
    </row>
    <row r="481" spans="1:1" s="126" customFormat="1">
      <c r="A481" s="86"/>
    </row>
    <row r="482" spans="1:1" s="126" customFormat="1">
      <c r="A482" s="86"/>
    </row>
    <row r="483" spans="1:1" s="126" customFormat="1">
      <c r="A483" s="86"/>
    </row>
    <row r="484" spans="1:1" s="126" customFormat="1">
      <c r="A484" s="86"/>
    </row>
    <row r="485" spans="1:1" s="126" customFormat="1">
      <c r="A485" s="86"/>
    </row>
    <row r="486" spans="1:1" s="126" customFormat="1">
      <c r="A486" s="86"/>
    </row>
    <row r="487" spans="1:1" s="126" customFormat="1">
      <c r="A487" s="86"/>
    </row>
    <row r="488" spans="1:1" s="126" customFormat="1">
      <c r="A488" s="86"/>
    </row>
    <row r="489" spans="1:1" s="126" customFormat="1">
      <c r="A489" s="86"/>
    </row>
    <row r="490" spans="1:1" s="126" customFormat="1">
      <c r="A490" s="86"/>
    </row>
    <row r="491" spans="1:1" s="126" customFormat="1">
      <c r="A491" s="86"/>
    </row>
    <row r="492" spans="1:1" s="126" customFormat="1">
      <c r="A492" s="86"/>
    </row>
    <row r="493" spans="1:1" s="126" customFormat="1">
      <c r="A493" s="86"/>
    </row>
    <row r="494" spans="1:1" s="126" customFormat="1">
      <c r="A494" s="86"/>
    </row>
    <row r="495" spans="1:1" s="126" customFormat="1">
      <c r="A495" s="86"/>
    </row>
    <row r="496" spans="1:1" s="126" customFormat="1">
      <c r="A496" s="86"/>
    </row>
    <row r="497" spans="1:1" s="126" customFormat="1">
      <c r="A497" s="86"/>
    </row>
    <row r="498" spans="1:1" s="126" customFormat="1">
      <c r="A498" s="86"/>
    </row>
    <row r="499" spans="1:1" s="126" customFormat="1">
      <c r="A499" s="86"/>
    </row>
    <row r="500" spans="1:1" s="126" customFormat="1">
      <c r="A500" s="86"/>
    </row>
    <row r="501" spans="1:1" s="126" customFormat="1">
      <c r="A501" s="86"/>
    </row>
    <row r="502" spans="1:1" s="126" customFormat="1">
      <c r="A502" s="86"/>
    </row>
    <row r="503" spans="1:1" s="126" customFormat="1">
      <c r="A503" s="86"/>
    </row>
    <row r="504" spans="1:1" s="126" customFormat="1">
      <c r="A504" s="86"/>
    </row>
    <row r="505" spans="1:1" s="126" customFormat="1">
      <c r="A505" s="86"/>
    </row>
    <row r="506" spans="1:1" s="126" customFormat="1">
      <c r="A506" s="86"/>
    </row>
    <row r="507" spans="1:1" s="126" customFormat="1">
      <c r="A507" s="86"/>
    </row>
    <row r="508" spans="1:1" s="126" customFormat="1">
      <c r="A508" s="86"/>
    </row>
    <row r="509" spans="1:1" s="126" customFormat="1">
      <c r="A509" s="86"/>
    </row>
    <row r="510" spans="1:1" s="126" customFormat="1">
      <c r="A510" s="86"/>
    </row>
    <row r="511" spans="1:1" s="126" customFormat="1">
      <c r="A511" s="86"/>
    </row>
    <row r="512" spans="1:1" s="126" customFormat="1">
      <c r="A512" s="86"/>
    </row>
    <row r="513" spans="1:1" s="126" customFormat="1">
      <c r="A513" s="86"/>
    </row>
    <row r="514" spans="1:1" s="126" customFormat="1">
      <c r="A514" s="86"/>
    </row>
    <row r="515" spans="1:1" s="126" customFormat="1">
      <c r="A515" s="86"/>
    </row>
    <row r="516" spans="1:1" s="126" customFormat="1">
      <c r="A516" s="86"/>
    </row>
    <row r="517" spans="1:1" s="126" customFormat="1">
      <c r="A517" s="86"/>
    </row>
    <row r="518" spans="1:1" s="126" customFormat="1">
      <c r="A518" s="86"/>
    </row>
    <row r="519" spans="1:1" s="126" customFormat="1">
      <c r="A519" s="86"/>
    </row>
    <row r="520" spans="1:1" s="126" customFormat="1">
      <c r="A520" s="86"/>
    </row>
    <row r="521" spans="1:1" s="126" customFormat="1">
      <c r="A521" s="86"/>
    </row>
    <row r="522" spans="1:1" s="126" customFormat="1">
      <c r="A522" s="86"/>
    </row>
    <row r="523" spans="1:1" s="126" customFormat="1">
      <c r="A523" s="86"/>
    </row>
    <row r="524" spans="1:1" s="126" customFormat="1">
      <c r="A524" s="86"/>
    </row>
    <row r="525" spans="1:1" s="126" customFormat="1">
      <c r="A525" s="86"/>
    </row>
    <row r="526" spans="1:1" s="126" customFormat="1">
      <c r="A526" s="86"/>
    </row>
    <row r="527" spans="1:1" s="126" customFormat="1">
      <c r="A527" s="86"/>
    </row>
    <row r="528" spans="1:1" s="126" customFormat="1">
      <c r="A528" s="86"/>
    </row>
    <row r="529" spans="1:1" s="126" customFormat="1">
      <c r="A529" s="86"/>
    </row>
    <row r="530" spans="1:1" s="126" customFormat="1">
      <c r="A530" s="86"/>
    </row>
    <row r="531" spans="1:1" s="126" customFormat="1">
      <c r="A531" s="86"/>
    </row>
    <row r="532" spans="1:1" s="126" customFormat="1">
      <c r="A532" s="86"/>
    </row>
    <row r="533" spans="1:1" s="126" customFormat="1">
      <c r="A533" s="86"/>
    </row>
    <row r="534" spans="1:1" s="126" customFormat="1">
      <c r="A534" s="86"/>
    </row>
    <row r="535" spans="1:1" s="126" customFormat="1">
      <c r="A535" s="86"/>
    </row>
    <row r="536" spans="1:1" s="126" customFormat="1">
      <c r="A536" s="86"/>
    </row>
    <row r="537" spans="1:1" s="126" customFormat="1">
      <c r="A537" s="86"/>
    </row>
    <row r="538" spans="1:1" s="126" customFormat="1">
      <c r="A538" s="86"/>
    </row>
    <row r="539" spans="1:1" s="126" customFormat="1">
      <c r="A539" s="86"/>
    </row>
    <row r="540" spans="1:1" s="126" customFormat="1">
      <c r="A540" s="86"/>
    </row>
    <row r="541" spans="1:1" s="126" customFormat="1">
      <c r="A541" s="86"/>
    </row>
    <row r="542" spans="1:1" s="126" customFormat="1">
      <c r="A542" s="86"/>
    </row>
    <row r="543" spans="1:1" s="126" customFormat="1">
      <c r="A543" s="86"/>
    </row>
    <row r="544" spans="1:1" s="126" customFormat="1">
      <c r="A544" s="86"/>
    </row>
    <row r="545" spans="1:1" s="126" customFormat="1">
      <c r="A545" s="86"/>
    </row>
    <row r="546" spans="1:1" s="126" customFormat="1">
      <c r="A546" s="86"/>
    </row>
    <row r="547" spans="1:1" s="126" customFormat="1">
      <c r="A547" s="86"/>
    </row>
    <row r="548" spans="1:1" s="126" customFormat="1">
      <c r="A548" s="86"/>
    </row>
    <row r="549" spans="1:1" s="126" customFormat="1">
      <c r="A549" s="86"/>
    </row>
    <row r="550" spans="1:1" s="126" customFormat="1">
      <c r="A550" s="86"/>
    </row>
    <row r="551" spans="1:1" s="126" customFormat="1">
      <c r="A551" s="86"/>
    </row>
    <row r="552" spans="1:1" s="126" customFormat="1">
      <c r="A552" s="86"/>
    </row>
    <row r="553" spans="1:1" s="126" customFormat="1">
      <c r="A553" s="86"/>
    </row>
    <row r="554" spans="1:1" s="126" customFormat="1">
      <c r="A554" s="86"/>
    </row>
    <row r="555" spans="1:1" s="126" customFormat="1">
      <c r="A555" s="86"/>
    </row>
    <row r="556" spans="1:1" s="126" customFormat="1">
      <c r="A556" s="86"/>
    </row>
    <row r="557" spans="1:1" s="126" customFormat="1">
      <c r="A557" s="86"/>
    </row>
    <row r="558" spans="1:1" s="126" customFormat="1">
      <c r="A558" s="86"/>
    </row>
    <row r="559" spans="1:1" s="126" customFormat="1">
      <c r="A559" s="86"/>
    </row>
    <row r="560" spans="1:1" s="126" customFormat="1">
      <c r="A560" s="86"/>
    </row>
    <row r="561" spans="1:1" s="126" customFormat="1">
      <c r="A561" s="86"/>
    </row>
    <row r="562" spans="1:1" s="126" customFormat="1">
      <c r="A562" s="86"/>
    </row>
    <row r="563" spans="1:1" s="126" customFormat="1">
      <c r="A563" s="86"/>
    </row>
    <row r="564" spans="1:1" s="126" customFormat="1">
      <c r="A564" s="86"/>
    </row>
    <row r="565" spans="1:1" s="126" customFormat="1">
      <c r="A565" s="86"/>
    </row>
    <row r="566" spans="1:1" s="126" customFormat="1">
      <c r="A566" s="86"/>
    </row>
    <row r="567" spans="1:1" s="126" customFormat="1">
      <c r="A567" s="86"/>
    </row>
    <row r="568" spans="1:1" s="126" customFormat="1">
      <c r="A568" s="86"/>
    </row>
    <row r="569" spans="1:1" s="126" customFormat="1">
      <c r="A569" s="86"/>
    </row>
    <row r="570" spans="1:1" s="126" customFormat="1">
      <c r="A570" s="86"/>
    </row>
    <row r="571" spans="1:1" s="126" customFormat="1">
      <c r="A571" s="86"/>
    </row>
    <row r="572" spans="1:1" s="126" customFormat="1">
      <c r="A572" s="86"/>
    </row>
    <row r="573" spans="1:1" s="126" customFormat="1">
      <c r="A573" s="86"/>
    </row>
    <row r="574" spans="1:1" s="126" customFormat="1">
      <c r="A574" s="86"/>
    </row>
    <row r="575" spans="1:1" s="126" customFormat="1">
      <c r="A575" s="86"/>
    </row>
    <row r="576" spans="1:1" s="126" customFormat="1">
      <c r="A576" s="86"/>
    </row>
    <row r="577" spans="1:1" s="126" customFormat="1">
      <c r="A577" s="86"/>
    </row>
    <row r="578" spans="1:1" s="126" customFormat="1">
      <c r="A578" s="86"/>
    </row>
    <row r="579" spans="1:1" s="126" customFormat="1">
      <c r="A579" s="86"/>
    </row>
    <row r="580" spans="1:1" s="126" customFormat="1">
      <c r="A580" s="86"/>
    </row>
    <row r="581" spans="1:1" s="126" customFormat="1">
      <c r="A581" s="86"/>
    </row>
    <row r="582" spans="1:1" s="126" customFormat="1">
      <c r="A582" s="86"/>
    </row>
    <row r="583" spans="1:1" s="126" customFormat="1">
      <c r="A583" s="86"/>
    </row>
    <row r="584" spans="1:1" s="126" customFormat="1">
      <c r="A584" s="86"/>
    </row>
    <row r="585" spans="1:1" s="126" customFormat="1">
      <c r="A585" s="86"/>
    </row>
    <row r="586" spans="1:1" s="126" customFormat="1">
      <c r="A586" s="86"/>
    </row>
    <row r="587" spans="1:1" s="126" customFormat="1">
      <c r="A587" s="86"/>
    </row>
    <row r="588" spans="1:1" s="126" customFormat="1">
      <c r="A588" s="86"/>
    </row>
    <row r="589" spans="1:1" s="126" customFormat="1">
      <c r="A589" s="86"/>
    </row>
    <row r="590" spans="1:1" s="126" customFormat="1">
      <c r="A590" s="86"/>
    </row>
    <row r="591" spans="1:1" s="126" customFormat="1">
      <c r="A591" s="86"/>
    </row>
    <row r="592" spans="1:1" s="126" customFormat="1">
      <c r="A592" s="86"/>
    </row>
    <row r="593" spans="1:1" s="126" customFormat="1">
      <c r="A593" s="86"/>
    </row>
    <row r="594" spans="1:1" s="126" customFormat="1">
      <c r="A594" s="86"/>
    </row>
    <row r="595" spans="1:1" s="126" customFormat="1">
      <c r="A595" s="86"/>
    </row>
    <row r="596" spans="1:1" s="126" customFormat="1">
      <c r="A596" s="86"/>
    </row>
    <row r="597" spans="1:1" s="126" customFormat="1">
      <c r="A597" s="86"/>
    </row>
    <row r="598" spans="1:1" s="126" customFormat="1">
      <c r="A598" s="86"/>
    </row>
    <row r="599" spans="1:1" s="126" customFormat="1">
      <c r="A599" s="86"/>
    </row>
    <row r="600" spans="1:1" s="126" customFormat="1">
      <c r="A600" s="86"/>
    </row>
    <row r="601" spans="1:1" s="126" customFormat="1">
      <c r="A601" s="86"/>
    </row>
    <row r="602" spans="1:1" s="126" customFormat="1">
      <c r="A602" s="86"/>
    </row>
    <row r="603" spans="1:1" s="126" customFormat="1">
      <c r="A603" s="86"/>
    </row>
    <row r="604" spans="1:1" s="126" customFormat="1">
      <c r="A604" s="86"/>
    </row>
    <row r="605" spans="1:1" s="126" customFormat="1">
      <c r="A605" s="86"/>
    </row>
    <row r="606" spans="1:1" s="126" customFormat="1">
      <c r="A606" s="86"/>
    </row>
    <row r="607" spans="1:1" s="126" customFormat="1">
      <c r="A607" s="86"/>
    </row>
    <row r="608" spans="1:1" s="126" customFormat="1">
      <c r="A608" s="86"/>
    </row>
    <row r="609" spans="1:1" s="126" customFormat="1">
      <c r="A609" s="86"/>
    </row>
    <row r="610" spans="1:1" s="126" customFormat="1">
      <c r="A610" s="86"/>
    </row>
    <row r="611" spans="1:1" s="126" customFormat="1">
      <c r="A611" s="86"/>
    </row>
    <row r="612" spans="1:1" s="126" customFormat="1">
      <c r="A612" s="86"/>
    </row>
    <row r="613" spans="1:1" s="126" customFormat="1">
      <c r="A613" s="86"/>
    </row>
    <row r="614" spans="1:1" s="126" customFormat="1">
      <c r="A614" s="86"/>
    </row>
    <row r="615" spans="1:1" s="126" customFormat="1">
      <c r="A615" s="86"/>
    </row>
    <row r="616" spans="1:1" s="126" customFormat="1">
      <c r="A616" s="86"/>
    </row>
    <row r="617" spans="1:1" s="126" customFormat="1">
      <c r="A617" s="86"/>
    </row>
    <row r="618" spans="1:1" s="126" customFormat="1">
      <c r="A618" s="86"/>
    </row>
    <row r="619" spans="1:1" s="126" customFormat="1">
      <c r="A619" s="86"/>
    </row>
    <row r="620" spans="1:1" s="126" customFormat="1">
      <c r="A620" s="86"/>
    </row>
    <row r="621" spans="1:1" s="126" customFormat="1">
      <c r="A621" s="86"/>
    </row>
    <row r="622" spans="1:1" s="126" customFormat="1">
      <c r="A622" s="86"/>
    </row>
    <row r="623" spans="1:1" s="126" customFormat="1">
      <c r="A623" s="86"/>
    </row>
    <row r="624" spans="1:1" s="126" customFormat="1">
      <c r="A624" s="86"/>
    </row>
    <row r="625" spans="1:1" s="126" customFormat="1">
      <c r="A625" s="86"/>
    </row>
    <row r="626" spans="1:1" s="126" customFormat="1">
      <c r="A626" s="86"/>
    </row>
    <row r="627" spans="1:1" s="126" customFormat="1">
      <c r="A627" s="86"/>
    </row>
    <row r="628" spans="1:1" s="126" customFormat="1">
      <c r="A628" s="86"/>
    </row>
    <row r="629" spans="1:1" s="126" customFormat="1">
      <c r="A629" s="86"/>
    </row>
    <row r="630" spans="1:1" s="126" customFormat="1">
      <c r="A630" s="86"/>
    </row>
    <row r="631" spans="1:1" s="126" customFormat="1">
      <c r="A631" s="86"/>
    </row>
    <row r="632" spans="1:1" s="126" customFormat="1">
      <c r="A632" s="86"/>
    </row>
    <row r="633" spans="1:1" s="126" customFormat="1">
      <c r="A633" s="86"/>
    </row>
    <row r="634" spans="1:1" s="126" customFormat="1">
      <c r="A634" s="86"/>
    </row>
    <row r="635" spans="1:1" s="126" customFormat="1">
      <c r="A635" s="86"/>
    </row>
    <row r="636" spans="1:1" s="126" customFormat="1">
      <c r="A636" s="86"/>
    </row>
    <row r="637" spans="1:1" s="126" customFormat="1">
      <c r="A637" s="86"/>
    </row>
    <row r="638" spans="1:1" s="126" customFormat="1">
      <c r="A638" s="86"/>
    </row>
    <row r="639" spans="1:1" s="126" customFormat="1">
      <c r="A639" s="86"/>
    </row>
    <row r="640" spans="1:1" s="126" customFormat="1">
      <c r="A640" s="86"/>
    </row>
    <row r="641" spans="1:1" s="126" customFormat="1">
      <c r="A641" s="86"/>
    </row>
    <row r="642" spans="1:1" s="126" customFormat="1">
      <c r="A642" s="86"/>
    </row>
    <row r="643" spans="1:1" s="126" customFormat="1">
      <c r="A643" s="86"/>
    </row>
    <row r="644" spans="1:1" s="126" customFormat="1">
      <c r="A644" s="86"/>
    </row>
    <row r="645" spans="1:1" s="126" customFormat="1">
      <c r="A645" s="86"/>
    </row>
    <row r="646" spans="1:1" s="126" customFormat="1">
      <c r="A646" s="86"/>
    </row>
    <row r="647" spans="1:1" s="126" customFormat="1">
      <c r="A647" s="86"/>
    </row>
    <row r="648" spans="1:1" s="126" customFormat="1">
      <c r="A648" s="86"/>
    </row>
    <row r="649" spans="1:1" s="126" customFormat="1">
      <c r="A649" s="86"/>
    </row>
    <row r="650" spans="1:1" s="126" customFormat="1">
      <c r="A650" s="86"/>
    </row>
    <row r="651" spans="1:1" s="126" customFormat="1">
      <c r="A651" s="86"/>
    </row>
    <row r="652" spans="1:1" s="126" customFormat="1">
      <c r="A652" s="86"/>
    </row>
    <row r="653" spans="1:1" s="126" customFormat="1">
      <c r="A653" s="86"/>
    </row>
    <row r="654" spans="1:1" s="126" customFormat="1">
      <c r="A654" s="86"/>
    </row>
    <row r="655" spans="1:1" s="126" customFormat="1">
      <c r="A655" s="86"/>
    </row>
    <row r="656" spans="1:1" s="126" customFormat="1">
      <c r="A656" s="86"/>
    </row>
    <row r="657" spans="1:1" s="126" customFormat="1">
      <c r="A657" s="86"/>
    </row>
    <row r="658" spans="1:1" s="126" customFormat="1">
      <c r="A658" s="86"/>
    </row>
    <row r="659" spans="1:1" s="126" customFormat="1">
      <c r="A659" s="86"/>
    </row>
    <row r="660" spans="1:1" s="126" customFormat="1">
      <c r="A660" s="86"/>
    </row>
    <row r="661" spans="1:1" s="126" customFormat="1">
      <c r="A661" s="86"/>
    </row>
    <row r="662" spans="1:1" s="126" customFormat="1">
      <c r="A662" s="86"/>
    </row>
    <row r="663" spans="1:1" s="126" customFormat="1">
      <c r="A663" s="86"/>
    </row>
    <row r="664" spans="1:1" s="126" customFormat="1">
      <c r="A664" s="86"/>
    </row>
    <row r="665" spans="1:1" s="126" customFormat="1">
      <c r="A665" s="86"/>
    </row>
    <row r="666" spans="1:1" s="126" customFormat="1">
      <c r="A666" s="86"/>
    </row>
    <row r="667" spans="1:1" s="126" customFormat="1">
      <c r="A667" s="86"/>
    </row>
    <row r="668" spans="1:1" s="126" customFormat="1">
      <c r="A668" s="86"/>
    </row>
    <row r="669" spans="1:1" s="126" customFormat="1">
      <c r="A669" s="86"/>
    </row>
    <row r="670" spans="1:1" s="126" customFormat="1">
      <c r="A670" s="86"/>
    </row>
    <row r="671" spans="1:1" s="126" customFormat="1">
      <c r="A671" s="86"/>
    </row>
    <row r="672" spans="1:1" s="126" customFormat="1">
      <c r="A672" s="86"/>
    </row>
    <row r="673" spans="1:1" s="126" customFormat="1">
      <c r="A673" s="86"/>
    </row>
    <row r="674" spans="1:1" s="126" customFormat="1">
      <c r="A674" s="86"/>
    </row>
    <row r="675" spans="1:1" s="126" customFormat="1">
      <c r="A675" s="86"/>
    </row>
    <row r="676" spans="1:1" s="126" customFormat="1">
      <c r="A676" s="86"/>
    </row>
    <row r="677" spans="1:1" s="126" customFormat="1">
      <c r="A677" s="86"/>
    </row>
    <row r="678" spans="1:1" s="126" customFormat="1">
      <c r="A678" s="86"/>
    </row>
    <row r="679" spans="1:1" s="126" customFormat="1">
      <c r="A679" s="86"/>
    </row>
    <row r="680" spans="1:1" s="126" customFormat="1">
      <c r="A680" s="86"/>
    </row>
    <row r="681" spans="1:1" s="126" customFormat="1">
      <c r="A681" s="86"/>
    </row>
    <row r="682" spans="1:1" s="126" customFormat="1">
      <c r="A682" s="86"/>
    </row>
    <row r="683" spans="1:1" s="126" customFormat="1">
      <c r="A683" s="86"/>
    </row>
    <row r="684" spans="1:1" s="126" customFormat="1">
      <c r="A684" s="86"/>
    </row>
    <row r="685" spans="1:1" s="126" customFormat="1">
      <c r="A685" s="86"/>
    </row>
    <row r="686" spans="1:1" s="126" customFormat="1">
      <c r="A686" s="86"/>
    </row>
    <row r="687" spans="1:1" s="126" customFormat="1">
      <c r="A687" s="86"/>
    </row>
    <row r="688" spans="1:1" s="126" customFormat="1">
      <c r="A688" s="86"/>
    </row>
    <row r="689" spans="1:1" s="126" customFormat="1">
      <c r="A689" s="86"/>
    </row>
    <row r="690" spans="1:1" s="126" customFormat="1">
      <c r="A690" s="86"/>
    </row>
    <row r="691" spans="1:1" s="126" customFormat="1">
      <c r="A691" s="86"/>
    </row>
    <row r="692" spans="1:1" s="126" customFormat="1">
      <c r="A692" s="86"/>
    </row>
    <row r="693" spans="1:1" s="126" customFormat="1">
      <c r="A693" s="86"/>
    </row>
    <row r="694" spans="1:1" s="126" customFormat="1">
      <c r="A694" s="86"/>
    </row>
    <row r="695" spans="1:1" s="126" customFormat="1">
      <c r="A695" s="86"/>
    </row>
    <row r="696" spans="1:1" s="126" customFormat="1">
      <c r="A696" s="86"/>
    </row>
    <row r="697" spans="1:1" s="126" customFormat="1">
      <c r="A697" s="86"/>
    </row>
    <row r="698" spans="1:1" s="126" customFormat="1">
      <c r="A698" s="86"/>
    </row>
    <row r="699" spans="1:1" s="126" customFormat="1">
      <c r="A699" s="86"/>
    </row>
    <row r="700" spans="1:1" s="126" customFormat="1">
      <c r="A700" s="86"/>
    </row>
    <row r="701" spans="1:1" s="126" customFormat="1">
      <c r="A701" s="86"/>
    </row>
    <row r="702" spans="1:1" s="126" customFormat="1">
      <c r="A702" s="86"/>
    </row>
    <row r="703" spans="1:1" s="126" customFormat="1">
      <c r="A703" s="86"/>
    </row>
    <row r="704" spans="1:1" s="126" customFormat="1">
      <c r="A704" s="86"/>
    </row>
    <row r="705" spans="1:1" s="126" customFormat="1">
      <c r="A705" s="86"/>
    </row>
    <row r="706" spans="1:1" s="126" customFormat="1">
      <c r="A706" s="86"/>
    </row>
    <row r="707" spans="1:1" s="126" customFormat="1">
      <c r="A707" s="86"/>
    </row>
    <row r="708" spans="1:1" s="126" customFormat="1">
      <c r="A708" s="86"/>
    </row>
    <row r="709" spans="1:1" s="126" customFormat="1">
      <c r="A709" s="86"/>
    </row>
    <row r="710" spans="1:1" s="126" customFormat="1">
      <c r="A710" s="86"/>
    </row>
    <row r="711" spans="1:1" s="126" customFormat="1">
      <c r="A711" s="86"/>
    </row>
    <row r="712" spans="1:1" s="126" customFormat="1">
      <c r="A712" s="86"/>
    </row>
    <row r="713" spans="1:1" s="126" customFormat="1">
      <c r="A713" s="86"/>
    </row>
    <row r="714" spans="1:1" s="126" customFormat="1">
      <c r="A714" s="86"/>
    </row>
    <row r="715" spans="1:1" s="126" customFormat="1">
      <c r="A715" s="86"/>
    </row>
    <row r="716" spans="1:1" s="126" customFormat="1">
      <c r="A716" s="86"/>
    </row>
    <row r="717" spans="1:1" s="126" customFormat="1">
      <c r="A717" s="86"/>
    </row>
    <row r="718" spans="1:1" s="126" customFormat="1">
      <c r="A718" s="86"/>
    </row>
    <row r="719" spans="1:1" s="126" customFormat="1">
      <c r="A719" s="86"/>
    </row>
    <row r="720" spans="1:1" s="126" customFormat="1">
      <c r="A720" s="86"/>
    </row>
    <row r="721" spans="1:1" s="126" customFormat="1">
      <c r="A721" s="86"/>
    </row>
    <row r="722" spans="1:1" s="126" customFormat="1">
      <c r="A722" s="86"/>
    </row>
    <row r="723" spans="1:1" s="126" customFormat="1">
      <c r="A723" s="86"/>
    </row>
    <row r="724" spans="1:1" s="126" customFormat="1">
      <c r="A724" s="86"/>
    </row>
    <row r="725" spans="1:1" s="126" customFormat="1">
      <c r="A725" s="86"/>
    </row>
    <row r="726" spans="1:1" s="126" customFormat="1">
      <c r="A726" s="86"/>
    </row>
    <row r="727" spans="1:1" s="126" customFormat="1">
      <c r="A727" s="86"/>
    </row>
    <row r="728" spans="1:1" s="126" customFormat="1">
      <c r="A728" s="86"/>
    </row>
    <row r="729" spans="1:1" s="126" customFormat="1">
      <c r="A729" s="86"/>
    </row>
    <row r="730" spans="1:1" s="126" customFormat="1">
      <c r="A730" s="86"/>
    </row>
    <row r="731" spans="1:1" s="126" customFormat="1">
      <c r="A731" s="86"/>
    </row>
    <row r="732" spans="1:1" s="126" customFormat="1">
      <c r="A732" s="86"/>
    </row>
    <row r="733" spans="1:1" s="126" customFormat="1">
      <c r="A733" s="86"/>
    </row>
    <row r="734" spans="1:1" s="126" customFormat="1">
      <c r="A734" s="86"/>
    </row>
    <row r="735" spans="1:1" s="126" customFormat="1">
      <c r="A735" s="86"/>
    </row>
    <row r="736" spans="1:1" s="126" customFormat="1">
      <c r="A736" s="86"/>
    </row>
    <row r="737" spans="1:1" s="126" customFormat="1">
      <c r="A737" s="86"/>
    </row>
    <row r="738" spans="1:1" s="126" customFormat="1">
      <c r="A738" s="86"/>
    </row>
    <row r="739" spans="1:1" s="126" customFormat="1">
      <c r="A739" s="86"/>
    </row>
    <row r="740" spans="1:1" s="126" customFormat="1">
      <c r="A740" s="86"/>
    </row>
    <row r="741" spans="1:1" s="126" customFormat="1">
      <c r="A741" s="86"/>
    </row>
    <row r="742" spans="1:1" s="126" customFormat="1">
      <c r="A742" s="86"/>
    </row>
    <row r="743" spans="1:1" s="126" customFormat="1">
      <c r="A743" s="86"/>
    </row>
    <row r="744" spans="1:1" s="126" customFormat="1">
      <c r="A744" s="86"/>
    </row>
    <row r="745" spans="1:1" s="126" customFormat="1">
      <c r="A745" s="86"/>
    </row>
    <row r="746" spans="1:1" s="126" customFormat="1">
      <c r="A746" s="86"/>
    </row>
    <row r="747" spans="1:1" s="126" customFormat="1">
      <c r="A747" s="86"/>
    </row>
    <row r="748" spans="1:1" s="126" customFormat="1">
      <c r="A748" s="86"/>
    </row>
    <row r="749" spans="1:1" s="126" customFormat="1">
      <c r="A749" s="86"/>
    </row>
    <row r="750" spans="1:1" s="126" customFormat="1">
      <c r="A750" s="86"/>
    </row>
    <row r="751" spans="1:1" s="126" customFormat="1">
      <c r="A751" s="86"/>
    </row>
    <row r="752" spans="1:1" s="126" customFormat="1">
      <c r="A752" s="86"/>
    </row>
    <row r="753" spans="1:1" s="126" customFormat="1">
      <c r="A753" s="86"/>
    </row>
    <row r="754" spans="1:1" s="126" customFormat="1">
      <c r="A754" s="86"/>
    </row>
    <row r="755" spans="1:1" s="126" customFormat="1">
      <c r="A755" s="86"/>
    </row>
    <row r="756" spans="1:1" s="126" customFormat="1">
      <c r="A756" s="86"/>
    </row>
    <row r="757" spans="1:1" s="126" customFormat="1">
      <c r="A757" s="86"/>
    </row>
    <row r="758" spans="1:1" s="126" customFormat="1">
      <c r="A758" s="86"/>
    </row>
    <row r="759" spans="1:1" s="126" customFormat="1">
      <c r="A759" s="86"/>
    </row>
    <row r="760" spans="1:1" s="126" customFormat="1">
      <c r="A760" s="86"/>
    </row>
    <row r="761" spans="1:1" s="126" customFormat="1">
      <c r="A761" s="86"/>
    </row>
    <row r="762" spans="1:1" s="126" customFormat="1">
      <c r="A762" s="86"/>
    </row>
    <row r="763" spans="1:1" s="126" customFormat="1">
      <c r="A763" s="86"/>
    </row>
    <row r="764" spans="1:1" s="126" customFormat="1">
      <c r="A764" s="86"/>
    </row>
    <row r="765" spans="1:1" s="126" customFormat="1">
      <c r="A765" s="86"/>
    </row>
    <row r="766" spans="1:1" s="126" customFormat="1">
      <c r="A766" s="86"/>
    </row>
    <row r="767" spans="1:1" s="126" customFormat="1">
      <c r="A767" s="86"/>
    </row>
    <row r="768" spans="1:1" s="126" customFormat="1">
      <c r="A768" s="86"/>
    </row>
    <row r="769" spans="1:1" s="126" customFormat="1">
      <c r="A769" s="86"/>
    </row>
    <row r="770" spans="1:1" s="126" customFormat="1">
      <c r="A770" s="86"/>
    </row>
    <row r="771" spans="1:1" s="126" customFormat="1">
      <c r="A771" s="86"/>
    </row>
    <row r="772" spans="1:1" s="126" customFormat="1">
      <c r="A772" s="86"/>
    </row>
    <row r="773" spans="1:1" s="126" customFormat="1">
      <c r="A773" s="86"/>
    </row>
    <row r="774" spans="1:1" s="126" customFormat="1">
      <c r="A774" s="86"/>
    </row>
    <row r="775" spans="1:1" s="126" customFormat="1">
      <c r="A775" s="86"/>
    </row>
    <row r="776" spans="1:1" s="126" customFormat="1">
      <c r="A776" s="86"/>
    </row>
    <row r="777" spans="1:1" s="126" customFormat="1">
      <c r="A777" s="86"/>
    </row>
    <row r="778" spans="1:1" s="126" customFormat="1">
      <c r="A778" s="86"/>
    </row>
    <row r="779" spans="1:1" s="126" customFormat="1">
      <c r="A779" s="86"/>
    </row>
    <row r="780" spans="1:1" s="126" customFormat="1">
      <c r="A780" s="86"/>
    </row>
    <row r="781" spans="1:1" s="126" customFormat="1">
      <c r="A781" s="86"/>
    </row>
    <row r="782" spans="1:1" s="126" customFormat="1">
      <c r="A782" s="86"/>
    </row>
    <row r="783" spans="1:1" s="126" customFormat="1">
      <c r="A783" s="86"/>
    </row>
    <row r="784" spans="1:1" s="126" customFormat="1">
      <c r="A784" s="86"/>
    </row>
    <row r="785" spans="1:1" s="126" customFormat="1">
      <c r="A785" s="86"/>
    </row>
    <row r="786" spans="1:1" s="126" customFormat="1">
      <c r="A786" s="86"/>
    </row>
    <row r="787" spans="1:1" s="126" customFormat="1">
      <c r="A787" s="86"/>
    </row>
    <row r="788" spans="1:1" s="126" customFormat="1">
      <c r="A788" s="86"/>
    </row>
    <row r="789" spans="1:1" s="126" customFormat="1">
      <c r="A789" s="86"/>
    </row>
    <row r="790" spans="1:1" s="126" customFormat="1">
      <c r="A790" s="86"/>
    </row>
    <row r="791" spans="1:1" s="126" customFormat="1">
      <c r="A791" s="86"/>
    </row>
    <row r="792" spans="1:1" s="126" customFormat="1">
      <c r="A792" s="86"/>
    </row>
    <row r="793" spans="1:1" s="126" customFormat="1">
      <c r="A793" s="86"/>
    </row>
    <row r="794" spans="1:1" s="126" customFormat="1">
      <c r="A794" s="86"/>
    </row>
    <row r="795" spans="1:1" s="126" customFormat="1">
      <c r="A795" s="86"/>
    </row>
    <row r="796" spans="1:1" s="126" customFormat="1">
      <c r="A796" s="86"/>
    </row>
    <row r="797" spans="1:1" s="126" customFormat="1">
      <c r="A797" s="86"/>
    </row>
    <row r="798" spans="1:1" s="126" customFormat="1">
      <c r="A798" s="86"/>
    </row>
    <row r="799" spans="1:1" s="126" customFormat="1">
      <c r="A799" s="86"/>
    </row>
    <row r="800" spans="1:1" s="126" customFormat="1">
      <c r="A800" s="86"/>
    </row>
    <row r="801" spans="1:1" s="126" customFormat="1">
      <c r="A801" s="86"/>
    </row>
    <row r="802" spans="1:1" s="126" customFormat="1">
      <c r="A802" s="86"/>
    </row>
    <row r="803" spans="1:1" s="126" customFormat="1">
      <c r="A803" s="86"/>
    </row>
    <row r="804" spans="1:1" s="126" customFormat="1">
      <c r="A804" s="86"/>
    </row>
    <row r="805" spans="1:1" s="126" customFormat="1">
      <c r="A805" s="86"/>
    </row>
    <row r="806" spans="1:1" s="126" customFormat="1">
      <c r="A806" s="86"/>
    </row>
    <row r="807" spans="1:1" s="126" customFormat="1">
      <c r="A807" s="86"/>
    </row>
    <row r="808" spans="1:1" s="126" customFormat="1">
      <c r="A808" s="86"/>
    </row>
    <row r="809" spans="1:1" s="126" customFormat="1">
      <c r="A809" s="86"/>
    </row>
    <row r="810" spans="1:1" s="126" customFormat="1">
      <c r="A810" s="86"/>
    </row>
    <row r="811" spans="1:1" s="126" customFormat="1">
      <c r="A811" s="86"/>
    </row>
    <row r="812" spans="1:1" s="126" customFormat="1">
      <c r="A812" s="86"/>
    </row>
    <row r="813" spans="1:1" s="126" customFormat="1">
      <c r="A813" s="86"/>
    </row>
    <row r="814" spans="1:1" s="126" customFormat="1">
      <c r="A814" s="86"/>
    </row>
    <row r="815" spans="1:1" s="126" customFormat="1">
      <c r="A815" s="86"/>
    </row>
    <row r="816" spans="1:1" s="126" customFormat="1">
      <c r="A816" s="86"/>
    </row>
    <row r="817" spans="1:1" s="126" customFormat="1">
      <c r="A817" s="86"/>
    </row>
    <row r="818" spans="1:1" s="126" customFormat="1">
      <c r="A818" s="86"/>
    </row>
    <row r="819" spans="1:1" s="126" customFormat="1">
      <c r="A819" s="86"/>
    </row>
    <row r="820" spans="1:1" s="126" customFormat="1">
      <c r="A820" s="86"/>
    </row>
    <row r="821" spans="1:1" s="126" customFormat="1">
      <c r="A821" s="86"/>
    </row>
    <row r="822" spans="1:1" s="126" customFormat="1">
      <c r="A822" s="86"/>
    </row>
    <row r="823" spans="1:1" s="126" customFormat="1">
      <c r="A823" s="86"/>
    </row>
    <row r="824" spans="1:1" s="126" customFormat="1">
      <c r="A824" s="86"/>
    </row>
    <row r="825" spans="1:1" s="126" customFormat="1">
      <c r="A825" s="86"/>
    </row>
    <row r="826" spans="1:1" s="126" customFormat="1">
      <c r="A826" s="86"/>
    </row>
    <row r="827" spans="1:1" s="126" customFormat="1">
      <c r="A827" s="86"/>
    </row>
    <row r="828" spans="1:1" s="126" customFormat="1">
      <c r="A828" s="86"/>
    </row>
    <row r="829" spans="1:1" s="126" customFormat="1">
      <c r="A829" s="86"/>
    </row>
    <row r="830" spans="1:1" s="126" customFormat="1">
      <c r="A830" s="86"/>
    </row>
    <row r="831" spans="1:1" s="126" customFormat="1">
      <c r="A831" s="86"/>
    </row>
    <row r="832" spans="1:1" s="126" customFormat="1">
      <c r="A832" s="86"/>
    </row>
    <row r="833" spans="1:1" s="126" customFormat="1">
      <c r="A833" s="86"/>
    </row>
    <row r="834" spans="1:1" s="126" customFormat="1">
      <c r="A834" s="86"/>
    </row>
    <row r="835" spans="1:1" s="126" customFormat="1">
      <c r="A835" s="86"/>
    </row>
    <row r="836" spans="1:1" s="126" customFormat="1">
      <c r="A836" s="86"/>
    </row>
    <row r="837" spans="1:1" s="126" customFormat="1">
      <c r="A837" s="86"/>
    </row>
    <row r="838" spans="1:1" s="126" customFormat="1">
      <c r="A838" s="86"/>
    </row>
    <row r="839" spans="1:1" s="126" customFormat="1">
      <c r="A839" s="86"/>
    </row>
    <row r="840" spans="1:1" s="126" customFormat="1">
      <c r="A840" s="86"/>
    </row>
    <row r="841" spans="1:1" s="126" customFormat="1">
      <c r="A841" s="86"/>
    </row>
    <row r="842" spans="1:1" s="126" customFormat="1">
      <c r="A842" s="86"/>
    </row>
    <row r="843" spans="1:1" s="126" customFormat="1">
      <c r="A843" s="86"/>
    </row>
    <row r="844" spans="1:1" s="126" customFormat="1">
      <c r="A844" s="86"/>
    </row>
    <row r="845" spans="1:1" s="126" customFormat="1">
      <c r="A845" s="86"/>
    </row>
    <row r="846" spans="1:1" s="126" customFormat="1">
      <c r="A846" s="86"/>
    </row>
    <row r="847" spans="1:1" s="126" customFormat="1">
      <c r="A847" s="86"/>
    </row>
    <row r="848" spans="1:1" s="126" customFormat="1">
      <c r="A848" s="86"/>
    </row>
    <row r="849" spans="1:1" s="126" customFormat="1">
      <c r="A849" s="86"/>
    </row>
    <row r="850" spans="1:1" s="126" customFormat="1">
      <c r="A850" s="86"/>
    </row>
    <row r="851" spans="1:1" s="126" customFormat="1">
      <c r="A851" s="86"/>
    </row>
    <row r="852" spans="1:1" s="126" customFormat="1">
      <c r="A852" s="86"/>
    </row>
    <row r="853" spans="1:1" s="126" customFormat="1">
      <c r="A853" s="86"/>
    </row>
    <row r="854" spans="1:1" s="126" customFormat="1">
      <c r="A854" s="86"/>
    </row>
    <row r="855" spans="1:1" s="126" customFormat="1">
      <c r="A855" s="86"/>
    </row>
    <row r="856" spans="1:1" s="126" customFormat="1">
      <c r="A856" s="86"/>
    </row>
    <row r="857" spans="1:1" s="126" customFormat="1">
      <c r="A857" s="86"/>
    </row>
    <row r="858" spans="1:1" s="126" customFormat="1">
      <c r="A858" s="86"/>
    </row>
    <row r="859" spans="1:1" s="126" customFormat="1">
      <c r="A859" s="86"/>
    </row>
    <row r="860" spans="1:1" s="126" customFormat="1">
      <c r="A860" s="86"/>
    </row>
    <row r="861" spans="1:1" s="126" customFormat="1">
      <c r="A861" s="86"/>
    </row>
    <row r="862" spans="1:1" s="126" customFormat="1">
      <c r="A862" s="86"/>
    </row>
    <row r="863" spans="1:1" s="126" customFormat="1">
      <c r="A863" s="86"/>
    </row>
    <row r="864" spans="1:1" s="126" customFormat="1">
      <c r="A864" s="86"/>
    </row>
    <row r="865" spans="1:1" s="126" customFormat="1">
      <c r="A865" s="86"/>
    </row>
    <row r="866" spans="1:1" s="126" customFormat="1">
      <c r="A866" s="86"/>
    </row>
    <row r="867" spans="1:1" s="126" customFormat="1">
      <c r="A867" s="86"/>
    </row>
    <row r="868" spans="1:1" s="126" customFormat="1">
      <c r="A868" s="86"/>
    </row>
    <row r="869" spans="1:1" s="126" customFormat="1">
      <c r="A869" s="86"/>
    </row>
    <row r="870" spans="1:1" s="126" customFormat="1">
      <c r="A870" s="86"/>
    </row>
    <row r="871" spans="1:1" s="126" customFormat="1">
      <c r="A871" s="86"/>
    </row>
    <row r="872" spans="1:1" s="126" customFormat="1">
      <c r="A872" s="86"/>
    </row>
    <row r="873" spans="1:1" s="126" customFormat="1">
      <c r="A873" s="86"/>
    </row>
    <row r="874" spans="1:1" s="126" customFormat="1">
      <c r="A874" s="86"/>
    </row>
    <row r="875" spans="1:1" s="126" customFormat="1">
      <c r="A875" s="86"/>
    </row>
    <row r="876" spans="1:1" s="126" customFormat="1">
      <c r="A876" s="86"/>
    </row>
    <row r="877" spans="1:1" s="126" customFormat="1">
      <c r="A877" s="86"/>
    </row>
    <row r="878" spans="1:1" s="126" customFormat="1">
      <c r="A878" s="86"/>
    </row>
    <row r="879" spans="1:1" s="126" customFormat="1">
      <c r="A879" s="86"/>
    </row>
    <row r="880" spans="1:1" s="126" customFormat="1">
      <c r="A880" s="86"/>
    </row>
    <row r="881" spans="1:1" s="126" customFormat="1">
      <c r="A881" s="86"/>
    </row>
    <row r="882" spans="1:1" s="126" customFormat="1">
      <c r="A882" s="86"/>
    </row>
    <row r="883" spans="1:1" s="126" customFormat="1">
      <c r="A883" s="86"/>
    </row>
    <row r="884" spans="1:1" s="126" customFormat="1">
      <c r="A884" s="86"/>
    </row>
    <row r="885" spans="1:1" s="126" customFormat="1">
      <c r="A885" s="86"/>
    </row>
    <row r="886" spans="1:1" s="126" customFormat="1">
      <c r="A886" s="86"/>
    </row>
    <row r="887" spans="1:1" s="126" customFormat="1">
      <c r="A887" s="86"/>
    </row>
    <row r="888" spans="1:1" s="126" customFormat="1">
      <c r="A888" s="86"/>
    </row>
    <row r="889" spans="1:1" s="126" customFormat="1">
      <c r="A889" s="86"/>
    </row>
    <row r="890" spans="1:1" s="126" customFormat="1">
      <c r="A890" s="86"/>
    </row>
    <row r="891" spans="1:1" s="126" customFormat="1">
      <c r="A891" s="86"/>
    </row>
    <row r="892" spans="1:1" s="126" customFormat="1">
      <c r="A892" s="86"/>
    </row>
    <row r="893" spans="1:1" s="126" customFormat="1">
      <c r="A893" s="86"/>
    </row>
    <row r="894" spans="1:1" s="126" customFormat="1">
      <c r="A894" s="86"/>
    </row>
    <row r="895" spans="1:1" s="126" customFormat="1">
      <c r="A895" s="86"/>
    </row>
    <row r="896" spans="1:1" s="126" customFormat="1">
      <c r="A896" s="86"/>
    </row>
    <row r="897" spans="1:1" s="126" customFormat="1">
      <c r="A897" s="86"/>
    </row>
    <row r="898" spans="1:1" s="126" customFormat="1">
      <c r="A898" s="86"/>
    </row>
    <row r="899" spans="1:1" s="126" customFormat="1">
      <c r="A899" s="86"/>
    </row>
    <row r="900" spans="1:1" s="126" customFormat="1">
      <c r="A900" s="86"/>
    </row>
    <row r="901" spans="1:1" s="126" customFormat="1">
      <c r="A901" s="86"/>
    </row>
    <row r="902" spans="1:1" s="126" customFormat="1">
      <c r="A902" s="86"/>
    </row>
    <row r="903" spans="1:1" s="126" customFormat="1">
      <c r="A903" s="86"/>
    </row>
    <row r="904" spans="1:1" s="126" customFormat="1">
      <c r="A904" s="86"/>
    </row>
    <row r="905" spans="1:1" s="126" customFormat="1">
      <c r="A905" s="86"/>
    </row>
    <row r="906" spans="1:1" s="126" customFormat="1">
      <c r="A906" s="86"/>
    </row>
    <row r="907" spans="1:1" s="126" customFormat="1">
      <c r="A907" s="86"/>
    </row>
    <row r="908" spans="1:1" s="126" customFormat="1">
      <c r="A908" s="86"/>
    </row>
    <row r="909" spans="1:1" s="126" customFormat="1">
      <c r="A909" s="86"/>
    </row>
    <row r="910" spans="1:1" s="126" customFormat="1">
      <c r="A910" s="86"/>
    </row>
    <row r="911" spans="1:1" s="126" customFormat="1">
      <c r="A911" s="86"/>
    </row>
    <row r="912" spans="1:1" s="126" customFormat="1">
      <c r="A912" s="86"/>
    </row>
    <row r="913" spans="1:1" s="126" customFormat="1">
      <c r="A913" s="86"/>
    </row>
    <row r="914" spans="1:1" s="126" customFormat="1">
      <c r="A914" s="86"/>
    </row>
    <row r="915" spans="1:1" s="126" customFormat="1">
      <c r="A915" s="86"/>
    </row>
    <row r="916" spans="1:1" s="126" customFormat="1">
      <c r="A916" s="86"/>
    </row>
    <row r="917" spans="1:1" s="126" customFormat="1">
      <c r="A917" s="86"/>
    </row>
    <row r="918" spans="1:1" s="126" customFormat="1">
      <c r="A918" s="86"/>
    </row>
    <row r="919" spans="1:1" s="126" customFormat="1">
      <c r="A919" s="86"/>
    </row>
    <row r="920" spans="1:1" s="126" customFormat="1">
      <c r="A920" s="86"/>
    </row>
    <row r="921" spans="1:1" s="126" customFormat="1">
      <c r="A921" s="86"/>
    </row>
    <row r="922" spans="1:1" s="126" customFormat="1">
      <c r="A922" s="86"/>
    </row>
    <row r="923" spans="1:1" s="126" customFormat="1">
      <c r="A923" s="86"/>
    </row>
    <row r="924" spans="1:1" s="126" customFormat="1">
      <c r="A924" s="86"/>
    </row>
    <row r="925" spans="1:1" s="126" customFormat="1">
      <c r="A925" s="86"/>
    </row>
    <row r="926" spans="1:1" s="126" customFormat="1">
      <c r="A926" s="86"/>
    </row>
    <row r="927" spans="1:1" s="126" customFormat="1">
      <c r="A927" s="86"/>
    </row>
    <row r="928" spans="1:1" s="126" customFormat="1">
      <c r="A928" s="86"/>
    </row>
    <row r="929" spans="1:1" s="126" customFormat="1">
      <c r="A929" s="86"/>
    </row>
    <row r="930" spans="1:1" s="126" customFormat="1">
      <c r="A930" s="86"/>
    </row>
    <row r="931" spans="1:1" s="126" customFormat="1">
      <c r="A931" s="86"/>
    </row>
    <row r="932" spans="1:1" s="126" customFormat="1">
      <c r="A932" s="86"/>
    </row>
    <row r="933" spans="1:1" s="126" customFormat="1">
      <c r="A933" s="86"/>
    </row>
    <row r="934" spans="1:1" s="126" customFormat="1">
      <c r="A934" s="86"/>
    </row>
    <row r="935" spans="1:1" s="126" customFormat="1">
      <c r="A935" s="86"/>
    </row>
    <row r="936" spans="1:1" s="126" customFormat="1">
      <c r="A936" s="86"/>
    </row>
    <row r="937" spans="1:1" s="126" customFormat="1">
      <c r="A937" s="86"/>
    </row>
    <row r="938" spans="1:1" s="126" customFormat="1">
      <c r="A938" s="86"/>
    </row>
    <row r="939" spans="1:1" s="126" customFormat="1">
      <c r="A939" s="86"/>
    </row>
    <row r="940" spans="1:1" s="126" customFormat="1">
      <c r="A940" s="86"/>
    </row>
    <row r="941" spans="1:1" s="126" customFormat="1">
      <c r="A941" s="86"/>
    </row>
    <row r="942" spans="1:1" s="126" customFormat="1">
      <c r="A942" s="86"/>
    </row>
    <row r="943" spans="1:1" s="126" customFormat="1">
      <c r="A943" s="86"/>
    </row>
    <row r="944" spans="1:1" s="126" customFormat="1">
      <c r="A944" s="86"/>
    </row>
    <row r="945" spans="1:1" s="126" customFormat="1">
      <c r="A945" s="86"/>
    </row>
    <row r="946" spans="1:1" s="126" customFormat="1">
      <c r="A946" s="86"/>
    </row>
    <row r="947" spans="1:1" s="126" customFormat="1">
      <c r="A947" s="86"/>
    </row>
    <row r="948" spans="1:1" s="126" customFormat="1">
      <c r="A948" s="86"/>
    </row>
    <row r="949" spans="1:1" s="126" customFormat="1">
      <c r="A949" s="86"/>
    </row>
    <row r="950" spans="1:1" s="126" customFormat="1">
      <c r="A950" s="86"/>
    </row>
    <row r="951" spans="1:1" s="126" customFormat="1">
      <c r="A951" s="86"/>
    </row>
    <row r="952" spans="1:1" s="126" customFormat="1">
      <c r="A952" s="86"/>
    </row>
    <row r="953" spans="1:1" s="126" customFormat="1">
      <c r="A953" s="86"/>
    </row>
    <row r="954" spans="1:1" s="126" customFormat="1">
      <c r="A954" s="86"/>
    </row>
    <row r="955" spans="1:1" s="126" customFormat="1">
      <c r="A955" s="86"/>
    </row>
    <row r="956" spans="1:1" s="126" customFormat="1">
      <c r="A956" s="86"/>
    </row>
    <row r="957" spans="1:1" s="126" customFormat="1">
      <c r="A957" s="86"/>
    </row>
    <row r="958" spans="1:1" s="126" customFormat="1">
      <c r="A958" s="86"/>
    </row>
    <row r="959" spans="1:1" s="126" customFormat="1">
      <c r="A959" s="86"/>
    </row>
    <row r="960" spans="1:1" s="126" customFormat="1">
      <c r="A960" s="86"/>
    </row>
    <row r="961" spans="1:1" s="126" customFormat="1">
      <c r="A961" s="86"/>
    </row>
    <row r="962" spans="1:1" s="126" customFormat="1">
      <c r="A962" s="86"/>
    </row>
    <row r="963" spans="1:1" s="126" customFormat="1">
      <c r="A963" s="86"/>
    </row>
    <row r="964" spans="1:1" s="126" customFormat="1">
      <c r="A964" s="86"/>
    </row>
    <row r="965" spans="1:1" s="126" customFormat="1">
      <c r="A965" s="86"/>
    </row>
    <row r="966" spans="1:1" s="126" customFormat="1">
      <c r="A966" s="86"/>
    </row>
    <row r="967" spans="1:1" s="126" customFormat="1">
      <c r="A967" s="86"/>
    </row>
    <row r="968" spans="1:1" s="126" customFormat="1">
      <c r="A968" s="86"/>
    </row>
    <row r="969" spans="1:1" s="126" customFormat="1">
      <c r="A969" s="86"/>
    </row>
    <row r="970" spans="1:1" s="126" customFormat="1">
      <c r="A970" s="86"/>
    </row>
    <row r="971" spans="1:1" s="126" customFormat="1">
      <c r="A971" s="86"/>
    </row>
    <row r="972" spans="1:1" s="126" customFormat="1">
      <c r="A972" s="86"/>
    </row>
    <row r="973" spans="1:1" s="126" customFormat="1">
      <c r="A973" s="86"/>
    </row>
    <row r="974" spans="1:1" s="126" customFormat="1">
      <c r="A974" s="86"/>
    </row>
    <row r="975" spans="1:1" s="126" customFormat="1">
      <c r="A975" s="86"/>
    </row>
    <row r="976" spans="1:1" s="126" customFormat="1">
      <c r="A976" s="86"/>
    </row>
    <row r="977" spans="1:1" s="126" customFormat="1">
      <c r="A977" s="86"/>
    </row>
    <row r="978" spans="1:1" s="126" customFormat="1">
      <c r="A978" s="86"/>
    </row>
    <row r="979" spans="1:1" s="126" customFormat="1">
      <c r="A979" s="86"/>
    </row>
    <row r="980" spans="1:1" s="126" customFormat="1">
      <c r="A980" s="86"/>
    </row>
    <row r="981" spans="1:1" s="126" customFormat="1">
      <c r="A981" s="86"/>
    </row>
    <row r="982" spans="1:1" s="126" customFormat="1">
      <c r="A982" s="86"/>
    </row>
    <row r="983" spans="1:1" s="126" customFormat="1">
      <c r="A983" s="86"/>
    </row>
    <row r="984" spans="1:1" s="126" customFormat="1">
      <c r="A984" s="86"/>
    </row>
    <row r="985" spans="1:1" s="126" customFormat="1">
      <c r="A985" s="86"/>
    </row>
    <row r="986" spans="1:1" s="126" customFormat="1">
      <c r="A986" s="86"/>
    </row>
    <row r="987" spans="1:1" s="126" customFormat="1">
      <c r="A987" s="86"/>
    </row>
    <row r="988" spans="1:1" s="126" customFormat="1">
      <c r="A988" s="86"/>
    </row>
    <row r="989" spans="1:1" s="126" customFormat="1">
      <c r="A989" s="86"/>
    </row>
    <row r="990" spans="1:1" s="126" customFormat="1">
      <c r="A990" s="86"/>
    </row>
    <row r="991" spans="1:1" s="126" customFormat="1">
      <c r="A991" s="86"/>
    </row>
    <row r="992" spans="1:1" s="126" customFormat="1">
      <c r="A992" s="86"/>
    </row>
    <row r="993" spans="1:1" s="126" customFormat="1">
      <c r="A993" s="86"/>
    </row>
    <row r="994" spans="1:1" s="126" customFormat="1">
      <c r="A994" s="86"/>
    </row>
    <row r="995" spans="1:1" s="126" customFormat="1">
      <c r="A995" s="86"/>
    </row>
    <row r="996" spans="1:1" s="126" customFormat="1">
      <c r="A996" s="86"/>
    </row>
    <row r="997" spans="1:1" s="126" customFormat="1">
      <c r="A997" s="86"/>
    </row>
    <row r="998" spans="1:1" s="126" customFormat="1">
      <c r="A998" s="86"/>
    </row>
    <row r="999" spans="1:1" s="126" customFormat="1">
      <c r="A999" s="86"/>
    </row>
    <row r="1000" spans="1:1" s="126" customFormat="1">
      <c r="A1000" s="86"/>
    </row>
    <row r="1001" spans="1:1" s="126" customFormat="1">
      <c r="A1001" s="86"/>
    </row>
    <row r="1002" spans="1:1" s="126" customFormat="1">
      <c r="A1002" s="86"/>
    </row>
    <row r="1003" spans="1:1" s="126" customFormat="1">
      <c r="A1003" s="86"/>
    </row>
    <row r="1004" spans="1:1" s="126" customFormat="1">
      <c r="A1004" s="86"/>
    </row>
    <row r="1005" spans="1:1" s="126" customFormat="1">
      <c r="A1005" s="86"/>
    </row>
    <row r="1006" spans="1:1" s="126" customFormat="1">
      <c r="A1006" s="86"/>
    </row>
    <row r="1007" spans="1:1" s="126" customFormat="1">
      <c r="A1007" s="86"/>
    </row>
    <row r="1008" spans="1:1" s="126" customFormat="1">
      <c r="A1008" s="86"/>
    </row>
    <row r="1009" spans="1:1" s="126" customFormat="1">
      <c r="A1009" s="86"/>
    </row>
    <row r="1010" spans="1:1" s="126" customFormat="1">
      <c r="A1010" s="86"/>
    </row>
    <row r="1011" spans="1:1" s="126" customFormat="1">
      <c r="A1011" s="86"/>
    </row>
    <row r="1012" spans="1:1" s="126" customFormat="1">
      <c r="A1012" s="86"/>
    </row>
    <row r="1013" spans="1:1" s="126" customFormat="1">
      <c r="A1013" s="86"/>
    </row>
    <row r="1014" spans="1:1" s="126" customFormat="1">
      <c r="A1014" s="86"/>
    </row>
    <row r="1015" spans="1:1" s="126" customFormat="1">
      <c r="A1015" s="86"/>
    </row>
    <row r="1016" spans="1:1" s="126" customFormat="1">
      <c r="A1016" s="86"/>
    </row>
    <row r="1017" spans="1:1" s="126" customFormat="1">
      <c r="A1017" s="86"/>
    </row>
    <row r="1018" spans="1:1" s="126" customFormat="1">
      <c r="A1018" s="86"/>
    </row>
    <row r="1019" spans="1:1" s="126" customFormat="1">
      <c r="A1019" s="86"/>
    </row>
    <row r="1020" spans="1:1" s="126" customFormat="1">
      <c r="A1020" s="86"/>
    </row>
    <row r="1021" spans="1:1" s="126" customFormat="1">
      <c r="A1021" s="86"/>
    </row>
    <row r="1022" spans="1:1" s="126" customFormat="1">
      <c r="A1022" s="86"/>
    </row>
    <row r="1023" spans="1:1" s="126" customFormat="1">
      <c r="A1023" s="86"/>
    </row>
    <row r="1024" spans="1:1" s="126" customFormat="1">
      <c r="A1024" s="86"/>
    </row>
    <row r="1025" spans="1:1" s="126" customFormat="1">
      <c r="A1025" s="86"/>
    </row>
    <row r="1026" spans="1:1" s="126" customFormat="1">
      <c r="A1026" s="86"/>
    </row>
    <row r="1027" spans="1:1" s="126" customFormat="1">
      <c r="A1027" s="86"/>
    </row>
    <row r="1028" spans="1:1" s="126" customFormat="1">
      <c r="A1028" s="86"/>
    </row>
    <row r="1029" spans="1:1" s="126" customFormat="1">
      <c r="A1029" s="86"/>
    </row>
    <row r="1030" spans="1:1" s="126" customFormat="1">
      <c r="A1030" s="86"/>
    </row>
    <row r="1031" spans="1:1" s="126" customFormat="1">
      <c r="A1031" s="86"/>
    </row>
    <row r="1032" spans="1:1" s="126" customFormat="1">
      <c r="A1032" s="86"/>
    </row>
    <row r="1033" spans="1:1" s="126" customFormat="1">
      <c r="A1033" s="86"/>
    </row>
    <row r="1034" spans="1:1" s="126" customFormat="1">
      <c r="A1034" s="86"/>
    </row>
    <row r="1035" spans="1:1" s="126" customFormat="1">
      <c r="A1035" s="86"/>
    </row>
    <row r="1036" spans="1:1" s="126" customFormat="1">
      <c r="A1036" s="86"/>
    </row>
    <row r="1037" spans="1:1" s="126" customFormat="1">
      <c r="A1037" s="86"/>
    </row>
    <row r="1038" spans="1:1" s="126" customFormat="1">
      <c r="A1038" s="86"/>
    </row>
    <row r="1039" spans="1:1" s="126" customFormat="1">
      <c r="A1039" s="86"/>
    </row>
    <row r="1040" spans="1:1" s="126" customFormat="1">
      <c r="A1040" s="86"/>
    </row>
    <row r="1041" spans="1:1" s="126" customFormat="1">
      <c r="A1041" s="86"/>
    </row>
    <row r="1042" spans="1:1" s="126" customFormat="1">
      <c r="A1042" s="86"/>
    </row>
    <row r="1043" spans="1:1" s="126" customFormat="1">
      <c r="A1043" s="86"/>
    </row>
    <row r="1044" spans="1:1" s="126" customFormat="1">
      <c r="A1044" s="86"/>
    </row>
    <row r="1045" spans="1:1" s="126" customFormat="1">
      <c r="A1045" s="86"/>
    </row>
    <row r="1046" spans="1:1" s="126" customFormat="1">
      <c r="A1046" s="86"/>
    </row>
    <row r="1047" spans="1:1" s="126" customFormat="1">
      <c r="A1047" s="86"/>
    </row>
    <row r="1048" spans="1:1" s="126" customFormat="1">
      <c r="A1048" s="86"/>
    </row>
    <row r="1049" spans="1:1" s="126" customFormat="1">
      <c r="A1049" s="86"/>
    </row>
    <row r="1050" spans="1:1" s="126" customFormat="1">
      <c r="A1050" s="86"/>
    </row>
    <row r="1051" spans="1:1" s="126" customFormat="1">
      <c r="A1051" s="86"/>
    </row>
    <row r="1052" spans="1:1" s="126" customFormat="1">
      <c r="A1052" s="86"/>
    </row>
    <row r="1053" spans="1:1" s="126" customFormat="1">
      <c r="A1053" s="86"/>
    </row>
    <row r="1054" spans="1:1" s="126" customFormat="1">
      <c r="A1054" s="86"/>
    </row>
    <row r="1055" spans="1:1" s="126" customFormat="1">
      <c r="A1055" s="86"/>
    </row>
    <row r="1056" spans="1:1" s="126" customFormat="1">
      <c r="A1056" s="86"/>
    </row>
    <row r="1057" spans="1:1" s="126" customFormat="1">
      <c r="A1057" s="86"/>
    </row>
    <row r="1058" spans="1:1" s="126" customFormat="1">
      <c r="A1058" s="86"/>
    </row>
    <row r="1059" spans="1:1" s="126" customFormat="1">
      <c r="A1059" s="86"/>
    </row>
    <row r="1060" spans="1:1" s="126" customFormat="1">
      <c r="A1060" s="86"/>
    </row>
    <row r="1061" spans="1:1" s="126" customFormat="1">
      <c r="A1061" s="86"/>
    </row>
    <row r="1062" spans="1:1" s="126" customFormat="1">
      <c r="A1062" s="86"/>
    </row>
    <row r="1063" spans="1:1" s="126" customFormat="1">
      <c r="A1063" s="86"/>
    </row>
    <row r="1064" spans="1:1" s="126" customFormat="1">
      <c r="A1064" s="86"/>
    </row>
    <row r="1065" spans="1:1" s="126" customFormat="1">
      <c r="A1065" s="86"/>
    </row>
    <row r="1066" spans="1:1" s="126" customFormat="1">
      <c r="A1066" s="86"/>
    </row>
    <row r="1067" spans="1:1" s="126" customFormat="1">
      <c r="A1067" s="86"/>
    </row>
    <row r="1068" spans="1:1" s="126" customFormat="1">
      <c r="A1068" s="86"/>
    </row>
    <row r="1069" spans="1:1" s="126" customFormat="1">
      <c r="A1069" s="86"/>
    </row>
    <row r="1070" spans="1:1" s="126" customFormat="1">
      <c r="A1070" s="86"/>
    </row>
    <row r="1071" spans="1:1" s="126" customFormat="1">
      <c r="A1071" s="86"/>
    </row>
    <row r="1072" spans="1:1" s="126" customFormat="1">
      <c r="A1072" s="86"/>
    </row>
    <row r="1073" spans="1:1" s="126" customFormat="1">
      <c r="A1073" s="86"/>
    </row>
    <row r="1074" spans="1:1" s="126" customFormat="1">
      <c r="A1074" s="86"/>
    </row>
    <row r="1075" spans="1:1" s="126" customFormat="1">
      <c r="A1075" s="86"/>
    </row>
    <row r="1076" spans="1:1" s="126" customFormat="1">
      <c r="A1076" s="86"/>
    </row>
    <row r="1077" spans="1:1" s="126" customFormat="1">
      <c r="A1077" s="86"/>
    </row>
    <row r="1078" spans="1:1" s="126" customFormat="1">
      <c r="A1078" s="86"/>
    </row>
    <row r="1079" spans="1:1" s="126" customFormat="1">
      <c r="A1079" s="86"/>
    </row>
    <row r="1080" spans="1:1" s="126" customFormat="1">
      <c r="A1080" s="86"/>
    </row>
    <row r="1081" spans="1:1" s="126" customFormat="1">
      <c r="A1081" s="86"/>
    </row>
    <row r="1082" spans="1:1" s="126" customFormat="1">
      <c r="A1082" s="86"/>
    </row>
    <row r="1083" spans="1:1" s="126" customFormat="1">
      <c r="A1083" s="86"/>
    </row>
    <row r="1084" spans="1:1" s="126" customFormat="1">
      <c r="A1084" s="86"/>
    </row>
    <row r="1085" spans="1:1" s="126" customFormat="1">
      <c r="A1085" s="86"/>
    </row>
    <row r="1086" spans="1:1" s="126" customFormat="1">
      <c r="A1086" s="86"/>
    </row>
    <row r="1087" spans="1:1" s="126" customFormat="1">
      <c r="A1087" s="86"/>
    </row>
    <row r="1088" spans="1:1" s="126" customFormat="1">
      <c r="A1088" s="86"/>
    </row>
    <row r="1089" spans="1:1" s="126" customFormat="1">
      <c r="A1089" s="86"/>
    </row>
    <row r="1090" spans="1:1" s="126" customFormat="1">
      <c r="A1090" s="86"/>
    </row>
    <row r="1091" spans="1:1" s="126" customFormat="1">
      <c r="A1091" s="86"/>
    </row>
    <row r="1092" spans="1:1" s="126" customFormat="1">
      <c r="A1092" s="86"/>
    </row>
    <row r="1093" spans="1:1" s="126" customFormat="1">
      <c r="A1093" s="86"/>
    </row>
    <row r="1094" spans="1:1" s="126" customFormat="1">
      <c r="A1094" s="86"/>
    </row>
    <row r="1095" spans="1:1" s="126" customFormat="1">
      <c r="A1095" s="86"/>
    </row>
    <row r="1096" spans="1:1" s="126" customFormat="1">
      <c r="A1096" s="86"/>
    </row>
    <row r="1097" spans="1:1" s="126" customFormat="1">
      <c r="A1097" s="86"/>
    </row>
    <row r="1098" spans="1:1" s="126" customFormat="1">
      <c r="A1098" s="86"/>
    </row>
    <row r="1099" spans="1:1" s="126" customFormat="1">
      <c r="A1099" s="86"/>
    </row>
    <row r="1100" spans="1:1" s="126" customFormat="1">
      <c r="A1100" s="86"/>
    </row>
    <row r="1101" spans="1:1" s="126" customFormat="1">
      <c r="A1101" s="86"/>
    </row>
    <row r="1102" spans="1:1" s="126" customFormat="1">
      <c r="A1102" s="86"/>
    </row>
    <row r="1103" spans="1:1" s="126" customFormat="1">
      <c r="A1103" s="86"/>
    </row>
    <row r="1104" spans="1:1" s="126" customFormat="1">
      <c r="A1104" s="86"/>
    </row>
    <row r="1105" spans="1:1" s="126" customFormat="1">
      <c r="A1105" s="86"/>
    </row>
    <row r="1106" spans="1:1" s="126" customFormat="1">
      <c r="A1106" s="86"/>
    </row>
    <row r="1107" spans="1:1" s="126" customFormat="1">
      <c r="A1107" s="86"/>
    </row>
    <row r="1108" spans="1:1" s="126" customFormat="1">
      <c r="A1108" s="86"/>
    </row>
    <row r="1109" spans="1:1" s="126" customFormat="1">
      <c r="A1109" s="86"/>
    </row>
    <row r="1110" spans="1:1" s="126" customFormat="1">
      <c r="A1110" s="86"/>
    </row>
    <row r="1111" spans="1:1" s="126" customFormat="1">
      <c r="A1111" s="86"/>
    </row>
    <row r="1112" spans="1:1" s="126" customFormat="1">
      <c r="A1112" s="86"/>
    </row>
    <row r="1113" spans="1:1" s="126" customFormat="1">
      <c r="A1113" s="86"/>
    </row>
    <row r="1114" spans="1:1" s="126" customFormat="1">
      <c r="A1114" s="86"/>
    </row>
    <row r="1115" spans="1:1" s="126" customFormat="1">
      <c r="A1115" s="86"/>
    </row>
    <row r="1116" spans="1:1" s="126" customFormat="1">
      <c r="A1116" s="86"/>
    </row>
    <row r="1117" spans="1:1" s="126" customFormat="1">
      <c r="A1117" s="86"/>
    </row>
    <row r="1118" spans="1:1" s="126" customFormat="1">
      <c r="A1118" s="86"/>
    </row>
    <row r="1119" spans="1:1" s="126" customFormat="1">
      <c r="A1119" s="86"/>
    </row>
    <row r="1120" spans="1:1" s="126" customFormat="1">
      <c r="A1120" s="86"/>
    </row>
    <row r="1121" spans="1:1" s="126" customFormat="1">
      <c r="A1121" s="86"/>
    </row>
    <row r="1122" spans="1:1" s="126" customFormat="1">
      <c r="A1122" s="86"/>
    </row>
    <row r="1123" spans="1:1" s="126" customFormat="1">
      <c r="A1123" s="86"/>
    </row>
    <row r="1124" spans="1:1" s="126" customFormat="1">
      <c r="A1124" s="86"/>
    </row>
    <row r="1125" spans="1:1" s="126" customFormat="1">
      <c r="A1125" s="86"/>
    </row>
    <row r="1126" spans="1:1" s="126" customFormat="1">
      <c r="A1126" s="86"/>
    </row>
    <row r="1127" spans="1:1" s="126" customFormat="1">
      <c r="A1127" s="86"/>
    </row>
    <row r="1128" spans="1:1" s="126" customFormat="1">
      <c r="A1128" s="86"/>
    </row>
    <row r="1129" spans="1:1" s="126" customFormat="1">
      <c r="A1129" s="86"/>
    </row>
    <row r="1130" spans="1:1" s="126" customFormat="1">
      <c r="A1130" s="86"/>
    </row>
    <row r="1131" spans="1:1" s="126" customFormat="1">
      <c r="A1131" s="86"/>
    </row>
    <row r="1132" spans="1:1" s="126" customFormat="1">
      <c r="A1132" s="86"/>
    </row>
    <row r="1133" spans="1:1" s="126" customFormat="1">
      <c r="A1133" s="86"/>
    </row>
    <row r="1134" spans="1:1" s="126" customFormat="1">
      <c r="A1134" s="86"/>
    </row>
    <row r="1135" spans="1:1" s="126" customFormat="1">
      <c r="A1135" s="86"/>
    </row>
    <row r="1136" spans="1:1" s="126" customFormat="1">
      <c r="A1136" s="86"/>
    </row>
    <row r="1137" spans="1:1" s="126" customFormat="1">
      <c r="A1137" s="86"/>
    </row>
    <row r="1138" spans="1:1" s="126" customFormat="1">
      <c r="A1138" s="86"/>
    </row>
    <row r="1139" spans="1:1" s="126" customFormat="1">
      <c r="A1139" s="86"/>
    </row>
    <row r="1140" spans="1:1" s="126" customFormat="1">
      <c r="A1140" s="86"/>
    </row>
    <row r="1141" spans="1:1" s="126" customFormat="1">
      <c r="A1141" s="86"/>
    </row>
    <row r="1142" spans="1:1" s="126" customFormat="1">
      <c r="A1142" s="86"/>
    </row>
    <row r="1143" spans="1:1" s="126" customFormat="1">
      <c r="A1143" s="86"/>
    </row>
    <row r="1144" spans="1:1" s="126" customFormat="1">
      <c r="A1144" s="86"/>
    </row>
    <row r="1145" spans="1:1" s="126" customFormat="1">
      <c r="A1145" s="86"/>
    </row>
    <row r="1146" spans="1:1" s="126" customFormat="1">
      <c r="A1146" s="86"/>
    </row>
    <row r="1147" spans="1:1" s="126" customFormat="1">
      <c r="A1147" s="86"/>
    </row>
    <row r="1148" spans="1:1" s="126" customFormat="1">
      <c r="A1148" s="86"/>
    </row>
    <row r="1149" spans="1:1" s="126" customFormat="1">
      <c r="A1149" s="86"/>
    </row>
    <row r="1150" spans="1:1" s="126" customFormat="1">
      <c r="A1150" s="86"/>
    </row>
    <row r="1151" spans="1:1" s="126" customFormat="1">
      <c r="A1151" s="86"/>
    </row>
    <row r="1152" spans="1:1" s="126" customFormat="1">
      <c r="A1152" s="86"/>
    </row>
    <row r="1153" spans="1:1" s="126" customFormat="1">
      <c r="A1153" s="86"/>
    </row>
    <row r="1154" spans="1:1" s="126" customFormat="1">
      <c r="A1154" s="86"/>
    </row>
    <row r="1155" spans="1:1" s="126" customFormat="1">
      <c r="A1155" s="86"/>
    </row>
    <row r="1156" spans="1:1" s="126" customFormat="1">
      <c r="A1156" s="86"/>
    </row>
    <row r="1157" spans="1:1" s="126" customFormat="1">
      <c r="A1157" s="86"/>
    </row>
    <row r="1158" spans="1:1" s="126" customFormat="1">
      <c r="A1158" s="86"/>
    </row>
    <row r="1159" spans="1:1" s="126" customFormat="1">
      <c r="A1159" s="86"/>
    </row>
    <row r="1160" spans="1:1" s="126" customFormat="1">
      <c r="A1160" s="86"/>
    </row>
    <row r="1161" spans="1:1" s="126" customFormat="1">
      <c r="A1161" s="86"/>
    </row>
    <row r="1162" spans="1:1" s="126" customFormat="1">
      <c r="A1162" s="86"/>
    </row>
    <row r="1163" spans="1:1" s="126" customFormat="1">
      <c r="A1163" s="86"/>
    </row>
    <row r="1164" spans="1:1" s="126" customFormat="1">
      <c r="A1164" s="86"/>
    </row>
    <row r="1165" spans="1:1" s="126" customFormat="1">
      <c r="A1165" s="86"/>
    </row>
    <row r="1166" spans="1:1" s="126" customFormat="1">
      <c r="A1166" s="86"/>
    </row>
    <row r="1167" spans="1:1" s="126" customFormat="1">
      <c r="A1167" s="86"/>
    </row>
    <row r="1168" spans="1:1" s="126" customFormat="1">
      <c r="A1168" s="86"/>
    </row>
    <row r="1169" spans="1:1" s="126" customFormat="1">
      <c r="A1169" s="86"/>
    </row>
    <row r="1170" spans="1:1" s="126" customFormat="1">
      <c r="A1170" s="86"/>
    </row>
    <row r="1171" spans="1:1" s="126" customFormat="1">
      <c r="A1171" s="86"/>
    </row>
    <row r="1172" spans="1:1" s="126" customFormat="1">
      <c r="A1172" s="86"/>
    </row>
    <row r="1173" spans="1:1" s="126" customFormat="1">
      <c r="A1173" s="86"/>
    </row>
    <row r="1174" spans="1:1" s="126" customFormat="1">
      <c r="A1174" s="86"/>
    </row>
    <row r="1175" spans="1:1" s="126" customFormat="1">
      <c r="A1175" s="86"/>
    </row>
    <row r="1176" spans="1:1" s="126" customFormat="1">
      <c r="A1176" s="86"/>
    </row>
    <row r="1177" spans="1:1" s="126" customFormat="1">
      <c r="A1177" s="86"/>
    </row>
    <row r="1178" spans="1:1" s="126" customFormat="1">
      <c r="A1178" s="86"/>
    </row>
    <row r="1179" spans="1:1" s="126" customFormat="1">
      <c r="A1179" s="86"/>
    </row>
    <row r="1180" spans="1:1" s="126" customFormat="1">
      <c r="A1180" s="86"/>
    </row>
    <row r="1181" spans="1:1" s="126" customFormat="1">
      <c r="A1181" s="86"/>
    </row>
    <row r="1182" spans="1:1" s="126" customFormat="1">
      <c r="A1182" s="86"/>
    </row>
    <row r="1183" spans="1:1" s="126" customFormat="1">
      <c r="A1183" s="86"/>
    </row>
    <row r="1184" spans="1:1" s="126" customFormat="1">
      <c r="A1184" s="86"/>
    </row>
    <row r="1185" spans="1:1" s="126" customFormat="1">
      <c r="A1185" s="86"/>
    </row>
    <row r="1186" spans="1:1" s="126" customFormat="1">
      <c r="A1186" s="86"/>
    </row>
    <row r="1187" spans="1:1" s="126" customFormat="1">
      <c r="A1187" s="86"/>
    </row>
    <row r="1188" spans="1:1" s="126" customFormat="1">
      <c r="A1188" s="86"/>
    </row>
    <row r="1189" spans="1:1" s="126" customFormat="1">
      <c r="A1189" s="86"/>
    </row>
    <row r="1190" spans="1:1" s="126" customFormat="1">
      <c r="A1190" s="86"/>
    </row>
    <row r="1191" spans="1:1" s="126" customFormat="1">
      <c r="A1191" s="86"/>
    </row>
    <row r="1192" spans="1:1" s="126" customFormat="1">
      <c r="A1192" s="86"/>
    </row>
    <row r="1193" spans="1:1" s="126" customFormat="1">
      <c r="A1193" s="86"/>
    </row>
    <row r="1194" spans="1:1" s="126" customFormat="1">
      <c r="A1194" s="86"/>
    </row>
    <row r="1195" spans="1:1" s="126" customFormat="1">
      <c r="A1195" s="86"/>
    </row>
    <row r="1196" spans="1:1" s="126" customFormat="1">
      <c r="A1196" s="86"/>
    </row>
    <row r="1197" spans="1:1" s="126" customFormat="1">
      <c r="A1197" s="86"/>
    </row>
    <row r="1198" spans="1:1" s="126" customFormat="1">
      <c r="A1198" s="86"/>
    </row>
    <row r="1199" spans="1:1" s="126" customFormat="1">
      <c r="A1199" s="86"/>
    </row>
    <row r="1200" spans="1:1" s="126" customFormat="1">
      <c r="A1200" s="86"/>
    </row>
    <row r="1201" spans="1:1" s="126" customFormat="1">
      <c r="A1201" s="86"/>
    </row>
    <row r="1202" spans="1:1" s="126" customFormat="1">
      <c r="A1202" s="86"/>
    </row>
    <row r="1203" spans="1:1" s="126" customFormat="1">
      <c r="A1203" s="86"/>
    </row>
    <row r="1204" spans="1:1" s="126" customFormat="1">
      <c r="A1204" s="86"/>
    </row>
    <row r="1205" spans="1:1" s="126" customFormat="1">
      <c r="A1205" s="86"/>
    </row>
    <row r="1206" spans="1:1" s="126" customFormat="1">
      <c r="A1206" s="86"/>
    </row>
    <row r="1207" spans="1:1" s="126" customFormat="1">
      <c r="A1207" s="86"/>
    </row>
    <row r="1208" spans="1:1" s="126" customFormat="1">
      <c r="A1208" s="86"/>
    </row>
    <row r="1209" spans="1:1" s="126" customFormat="1">
      <c r="A1209" s="86"/>
    </row>
    <row r="1210" spans="1:1" s="126" customFormat="1">
      <c r="A1210" s="86"/>
    </row>
    <row r="1211" spans="1:1" s="126" customFormat="1">
      <c r="A1211" s="86"/>
    </row>
    <row r="1212" spans="1:1" s="126" customFormat="1">
      <c r="A1212" s="86"/>
    </row>
    <row r="1213" spans="1:1" s="126" customFormat="1">
      <c r="A1213" s="86"/>
    </row>
    <row r="1214" spans="1:1" s="126" customFormat="1">
      <c r="A1214" s="86"/>
    </row>
    <row r="1215" spans="1:1" s="126" customFormat="1">
      <c r="A1215" s="86"/>
    </row>
    <row r="1216" spans="1:1" s="126" customFormat="1">
      <c r="A1216" s="86"/>
    </row>
    <row r="1217" spans="1:1" s="126" customFormat="1">
      <c r="A1217" s="86"/>
    </row>
    <row r="1218" spans="1:1" s="126" customFormat="1">
      <c r="A1218" s="86"/>
    </row>
    <row r="1219" spans="1:1" s="126" customFormat="1">
      <c r="A1219" s="86"/>
    </row>
    <row r="1220" spans="1:1" s="126" customFormat="1">
      <c r="A1220" s="86"/>
    </row>
    <row r="1221" spans="1:1" s="126" customFormat="1">
      <c r="A1221" s="86"/>
    </row>
    <row r="1222" spans="1:1" s="126" customFormat="1">
      <c r="A1222" s="86"/>
    </row>
    <row r="1223" spans="1:1" s="126" customFormat="1">
      <c r="A1223" s="86"/>
    </row>
    <row r="1224" spans="1:1" s="126" customFormat="1">
      <c r="A1224" s="86"/>
    </row>
    <row r="1225" spans="1:1" s="126" customFormat="1">
      <c r="A1225" s="86"/>
    </row>
    <row r="1226" spans="1:1" s="126" customFormat="1">
      <c r="A1226" s="86"/>
    </row>
    <row r="1227" spans="1:1" s="126" customFormat="1">
      <c r="A1227" s="86"/>
    </row>
    <row r="1228" spans="1:1" s="126" customFormat="1">
      <c r="A1228" s="86"/>
    </row>
    <row r="1229" spans="1:1" s="126" customFormat="1">
      <c r="A1229" s="86"/>
    </row>
    <row r="1230" spans="1:1" s="126" customFormat="1">
      <c r="A1230" s="86"/>
    </row>
    <row r="1231" spans="1:1" s="126" customFormat="1">
      <c r="A1231" s="86"/>
    </row>
    <row r="1232" spans="1:1" s="126" customFormat="1">
      <c r="A1232" s="86"/>
    </row>
    <row r="1233" spans="1:1" s="126" customFormat="1">
      <c r="A1233" s="86"/>
    </row>
    <row r="1234" spans="1:1" s="126" customFormat="1">
      <c r="A1234" s="86"/>
    </row>
    <row r="1235" spans="1:1" s="126" customFormat="1">
      <c r="A1235" s="86"/>
    </row>
    <row r="1236" spans="1:1" s="126" customFormat="1">
      <c r="A1236" s="86"/>
    </row>
    <row r="1237" spans="1:1" s="126" customFormat="1">
      <c r="A1237" s="86"/>
    </row>
    <row r="1238" spans="1:1" s="126" customFormat="1">
      <c r="A1238" s="86"/>
    </row>
    <row r="1239" spans="1:1" s="126" customFormat="1">
      <c r="A1239" s="86"/>
    </row>
    <row r="1240" spans="1:1" s="126" customFormat="1">
      <c r="A1240" s="86"/>
    </row>
    <row r="1241" spans="1:1" s="126" customFormat="1">
      <c r="A1241" s="86"/>
    </row>
    <row r="1242" spans="1:1" s="126" customFormat="1">
      <c r="A1242" s="86"/>
    </row>
    <row r="1243" spans="1:1" s="126" customFormat="1">
      <c r="A1243" s="86"/>
    </row>
    <row r="1244" spans="1:1" s="126" customFormat="1">
      <c r="A1244" s="86"/>
    </row>
    <row r="1245" spans="1:1" s="126" customFormat="1">
      <c r="A1245" s="86"/>
    </row>
    <row r="1246" spans="1:1" s="126" customFormat="1">
      <c r="A1246" s="86"/>
    </row>
    <row r="1247" spans="1:1" s="126" customFormat="1">
      <c r="A1247" s="86"/>
    </row>
    <row r="1248" spans="1:1" s="126" customFormat="1">
      <c r="A1248" s="86"/>
    </row>
    <row r="1249" spans="1:1" s="126" customFormat="1">
      <c r="A1249" s="86"/>
    </row>
    <row r="1250" spans="1:1" s="126" customFormat="1">
      <c r="A1250" s="86"/>
    </row>
    <row r="1251" spans="1:1" s="126" customFormat="1">
      <c r="A1251" s="86"/>
    </row>
    <row r="1252" spans="1:1" s="126" customFormat="1">
      <c r="A1252" s="86"/>
    </row>
    <row r="1253" spans="1:1" s="126" customFormat="1">
      <c r="A1253" s="86"/>
    </row>
    <row r="1254" spans="1:1" s="126" customFormat="1">
      <c r="A1254" s="86"/>
    </row>
    <row r="1255" spans="1:1" s="126" customFormat="1">
      <c r="A1255" s="86"/>
    </row>
    <row r="1256" spans="1:1" s="126" customFormat="1">
      <c r="A1256" s="86"/>
    </row>
    <row r="1257" spans="1:1" s="126" customFormat="1">
      <c r="A1257" s="86"/>
    </row>
    <row r="1258" spans="1:1" s="126" customFormat="1">
      <c r="A1258" s="86"/>
    </row>
    <row r="1259" spans="1:1" s="126" customFormat="1">
      <c r="A1259" s="86"/>
    </row>
    <row r="1260" spans="1:1" s="126" customFormat="1">
      <c r="A1260" s="86"/>
    </row>
    <row r="1261" spans="1:1" s="126" customFormat="1">
      <c r="A1261" s="86"/>
    </row>
    <row r="1262" spans="1:1" s="126" customFormat="1">
      <c r="A1262" s="86"/>
    </row>
    <row r="1263" spans="1:1" s="126" customFormat="1">
      <c r="A1263" s="86"/>
    </row>
    <row r="1264" spans="1:1" s="126" customFormat="1">
      <c r="A1264" s="86"/>
    </row>
    <row r="1265" spans="1:1" s="126" customFormat="1">
      <c r="A1265" s="86"/>
    </row>
    <row r="1266" spans="1:1" s="126" customFormat="1">
      <c r="A1266" s="86"/>
    </row>
    <row r="1267" spans="1:1" s="126" customFormat="1">
      <c r="A1267" s="86"/>
    </row>
    <row r="1268" spans="1:1" s="126" customFormat="1">
      <c r="A1268" s="86"/>
    </row>
    <row r="1269" spans="1:1" s="126" customFormat="1">
      <c r="A1269" s="86"/>
    </row>
    <row r="1270" spans="1:1" s="126" customFormat="1">
      <c r="A1270" s="86"/>
    </row>
    <row r="1271" spans="1:1" s="126" customFormat="1">
      <c r="A1271" s="86"/>
    </row>
    <row r="1272" spans="1:1" s="126" customFormat="1">
      <c r="A1272" s="86"/>
    </row>
    <row r="1273" spans="1:1" s="126" customFormat="1">
      <c r="A1273" s="86"/>
    </row>
    <row r="1274" spans="1:1" s="126" customFormat="1">
      <c r="A1274" s="86"/>
    </row>
    <row r="1275" spans="1:1" s="126" customFormat="1">
      <c r="A1275" s="86"/>
    </row>
    <row r="1276" spans="1:1" s="126" customFormat="1">
      <c r="A1276" s="86"/>
    </row>
    <row r="1277" spans="1:1" s="126" customFormat="1">
      <c r="A1277" s="86"/>
    </row>
    <row r="1278" spans="1:1" s="126" customFormat="1">
      <c r="A1278" s="86"/>
    </row>
    <row r="1279" spans="1:1" s="126" customFormat="1">
      <c r="A1279" s="86"/>
    </row>
    <row r="1280" spans="1:1" s="126" customFormat="1">
      <c r="A1280" s="86"/>
    </row>
    <row r="1281" spans="1:1" s="126" customFormat="1">
      <c r="A1281" s="86"/>
    </row>
    <row r="1282" spans="1:1" s="126" customFormat="1">
      <c r="A1282" s="86"/>
    </row>
    <row r="1283" spans="1:1" s="126" customFormat="1">
      <c r="A1283" s="86"/>
    </row>
    <row r="1284" spans="1:1" s="126" customFormat="1">
      <c r="A1284" s="86"/>
    </row>
    <row r="1285" spans="1:1" s="126" customFormat="1">
      <c r="A1285" s="86"/>
    </row>
    <row r="1286" spans="1:1" s="126" customFormat="1">
      <c r="A1286" s="86"/>
    </row>
    <row r="1287" spans="1:1" s="126" customFormat="1">
      <c r="A1287" s="86"/>
    </row>
    <row r="1288" spans="1:1" s="126" customFormat="1">
      <c r="A1288" s="86"/>
    </row>
    <row r="1289" spans="1:1" s="126" customFormat="1">
      <c r="A1289" s="86"/>
    </row>
    <row r="1290" spans="1:1" s="126" customFormat="1">
      <c r="A1290" s="86"/>
    </row>
    <row r="1291" spans="1:1" s="126" customFormat="1">
      <c r="A1291" s="86"/>
    </row>
    <row r="1292" spans="1:1" s="126" customFormat="1">
      <c r="A1292" s="86"/>
    </row>
    <row r="1293" spans="1:1" s="126" customFormat="1">
      <c r="A1293" s="86"/>
    </row>
    <row r="1294" spans="1:1" s="126" customFormat="1">
      <c r="A1294" s="86"/>
    </row>
    <row r="1295" spans="1:1" s="126" customFormat="1">
      <c r="A1295" s="86"/>
    </row>
    <row r="1296" spans="1:1" s="126" customFormat="1">
      <c r="A1296" s="86"/>
    </row>
    <row r="1297" spans="1:1" s="126" customFormat="1">
      <c r="A1297" s="86"/>
    </row>
    <row r="1298" spans="1:1" s="126" customFormat="1">
      <c r="A1298" s="86"/>
    </row>
    <row r="1299" spans="1:1" s="126" customFormat="1">
      <c r="A1299" s="86"/>
    </row>
    <row r="1300" spans="1:1" s="126" customFormat="1">
      <c r="A1300" s="86"/>
    </row>
    <row r="1301" spans="1:1" s="126" customFormat="1">
      <c r="A1301" s="86"/>
    </row>
    <row r="1302" spans="1:1" s="126" customFormat="1">
      <c r="A1302" s="86"/>
    </row>
    <row r="1303" spans="1:1" s="126" customFormat="1">
      <c r="A1303" s="86"/>
    </row>
    <row r="1304" spans="1:1" s="126" customFormat="1">
      <c r="A1304" s="86"/>
    </row>
    <row r="1305" spans="1:1" s="126" customFormat="1">
      <c r="A1305" s="86"/>
    </row>
    <row r="1306" spans="1:1" s="126" customFormat="1">
      <c r="A1306" s="86"/>
    </row>
    <row r="1307" spans="1:1" s="126" customFormat="1">
      <c r="A1307" s="86"/>
    </row>
    <row r="1308" spans="1:1" s="126" customFormat="1">
      <c r="A1308" s="86"/>
    </row>
    <row r="1309" spans="1:1" s="126" customFormat="1">
      <c r="A1309" s="86"/>
    </row>
    <row r="1310" spans="1:1" s="126" customFormat="1">
      <c r="A1310" s="86"/>
    </row>
    <row r="1311" spans="1:1" s="126" customFormat="1">
      <c r="A1311" s="86"/>
    </row>
    <row r="1312" spans="1:1" s="126" customFormat="1">
      <c r="A1312" s="86"/>
    </row>
    <row r="1313" spans="1:1" s="126" customFormat="1">
      <c r="A1313" s="86"/>
    </row>
    <row r="1314" spans="1:1" s="126" customFormat="1">
      <c r="A1314" s="86"/>
    </row>
    <row r="1315" spans="1:1" s="126" customFormat="1">
      <c r="A1315" s="86"/>
    </row>
    <row r="1316" spans="1:1" s="126" customFormat="1">
      <c r="A1316" s="86"/>
    </row>
    <row r="1317" spans="1:1" s="126" customFormat="1">
      <c r="A1317" s="86"/>
    </row>
    <row r="1318" spans="1:1" s="126" customFormat="1">
      <c r="A1318" s="86"/>
    </row>
    <row r="1319" spans="1:1" s="126" customFormat="1">
      <c r="A1319" s="86"/>
    </row>
    <row r="1320" spans="1:1" s="126" customFormat="1">
      <c r="A1320" s="86"/>
    </row>
    <row r="1321" spans="1:1" s="126" customFormat="1">
      <c r="A1321" s="86"/>
    </row>
    <row r="1322" spans="1:1" s="126" customFormat="1">
      <c r="A1322" s="86"/>
    </row>
    <row r="1323" spans="1:1" s="126" customFormat="1">
      <c r="A1323" s="86"/>
    </row>
    <row r="1324" spans="1:1" s="126" customFormat="1">
      <c r="A1324" s="86"/>
    </row>
    <row r="1325" spans="1:1" s="126" customFormat="1">
      <c r="A1325" s="86"/>
    </row>
    <row r="1326" spans="1:1" s="126" customFormat="1">
      <c r="A1326" s="86"/>
    </row>
    <row r="1327" spans="1:1" s="126" customFormat="1">
      <c r="A1327" s="86"/>
    </row>
    <row r="1328" spans="1:1" s="126" customFormat="1">
      <c r="A1328" s="86"/>
    </row>
    <row r="1329" spans="1:1" s="126" customFormat="1">
      <c r="A1329" s="86"/>
    </row>
    <row r="1330" spans="1:1" s="126" customFormat="1">
      <c r="A1330" s="86"/>
    </row>
    <row r="1331" spans="1:1" s="126" customFormat="1">
      <c r="A1331" s="86"/>
    </row>
    <row r="1332" spans="1:1" s="126" customFormat="1">
      <c r="A1332" s="86"/>
    </row>
    <row r="1333" spans="1:1" s="126" customFormat="1">
      <c r="A1333" s="86"/>
    </row>
    <row r="1334" spans="1:1" s="126" customFormat="1">
      <c r="A1334" s="86"/>
    </row>
    <row r="1335" spans="1:1" s="126" customFormat="1">
      <c r="A1335" s="86"/>
    </row>
    <row r="1336" spans="1:1" s="126" customFormat="1">
      <c r="A1336" s="86"/>
    </row>
    <row r="1337" spans="1:1" s="126" customFormat="1">
      <c r="A1337" s="86"/>
    </row>
    <row r="1338" spans="1:1" s="126" customFormat="1">
      <c r="A1338" s="86"/>
    </row>
    <row r="1339" spans="1:1" s="126" customFormat="1">
      <c r="A1339" s="86"/>
    </row>
    <row r="1340" spans="1:1" s="126" customFormat="1">
      <c r="A1340" s="86"/>
    </row>
    <row r="1341" spans="1:1" s="126" customFormat="1">
      <c r="A1341" s="86"/>
    </row>
    <row r="1342" spans="1:1" s="126" customFormat="1">
      <c r="A1342" s="86"/>
    </row>
    <row r="1343" spans="1:1" s="126" customFormat="1">
      <c r="A1343" s="86"/>
    </row>
    <row r="1344" spans="1:1" s="126" customFormat="1">
      <c r="A1344" s="86"/>
    </row>
    <row r="1345" spans="1:1" s="126" customFormat="1">
      <c r="A1345" s="86"/>
    </row>
    <row r="1346" spans="1:1" s="126" customFormat="1">
      <c r="A1346" s="86"/>
    </row>
    <row r="1347" spans="1:1" s="126" customFormat="1">
      <c r="A1347" s="86"/>
    </row>
    <row r="1348" spans="1:1" s="126" customFormat="1">
      <c r="A1348" s="86"/>
    </row>
    <row r="1349" spans="1:1" s="126" customFormat="1">
      <c r="A1349" s="86"/>
    </row>
    <row r="1350" spans="1:1" s="126" customFormat="1">
      <c r="A1350" s="86"/>
    </row>
    <row r="1351" spans="1:1" s="126" customFormat="1">
      <c r="A1351" s="86"/>
    </row>
    <row r="1352" spans="1:1" s="126" customFormat="1">
      <c r="A1352" s="86"/>
    </row>
    <row r="1353" spans="1:1" s="126" customFormat="1">
      <c r="A1353" s="86"/>
    </row>
    <row r="1354" spans="1:1" s="126" customFormat="1">
      <c r="A1354" s="86"/>
    </row>
    <row r="1355" spans="1:1" s="126" customFormat="1">
      <c r="A1355" s="86"/>
    </row>
    <row r="1356" spans="1:1" s="126" customFormat="1">
      <c r="A1356" s="86"/>
    </row>
    <row r="1357" spans="1:1" s="126" customFormat="1">
      <c r="A1357" s="86"/>
    </row>
    <row r="1358" spans="1:1" s="126" customFormat="1">
      <c r="A1358" s="86"/>
    </row>
    <row r="1359" spans="1:1" s="126" customFormat="1">
      <c r="A1359" s="86"/>
    </row>
    <row r="1360" spans="1:1" s="126" customFormat="1">
      <c r="A1360" s="86"/>
    </row>
    <row r="1361" spans="1:1" s="126" customFormat="1">
      <c r="A1361" s="86"/>
    </row>
    <row r="1362" spans="1:1" s="126" customFormat="1">
      <c r="A1362" s="86"/>
    </row>
    <row r="1363" spans="1:1" s="126" customFormat="1">
      <c r="A1363" s="86"/>
    </row>
    <row r="1364" spans="1:1" s="126" customFormat="1">
      <c r="A1364" s="86"/>
    </row>
    <row r="1365" spans="1:1" s="126" customFormat="1">
      <c r="A1365" s="86"/>
    </row>
    <row r="1366" spans="1:1" s="126" customFormat="1">
      <c r="A1366" s="86"/>
    </row>
    <row r="1367" spans="1:1" s="126" customFormat="1">
      <c r="A1367" s="86"/>
    </row>
    <row r="1368" spans="1:1" s="126" customFormat="1">
      <c r="A1368" s="86"/>
    </row>
    <row r="1369" spans="1:1" s="126" customFormat="1">
      <c r="A1369" s="86"/>
    </row>
    <row r="1370" spans="1:1" s="126" customFormat="1">
      <c r="A1370" s="86"/>
    </row>
    <row r="1371" spans="1:1" s="126" customFormat="1">
      <c r="A1371" s="86"/>
    </row>
    <row r="1372" spans="1:1" s="126" customFormat="1">
      <c r="A1372" s="86"/>
    </row>
    <row r="1373" spans="1:1" s="126" customFormat="1">
      <c r="A1373" s="86"/>
    </row>
    <row r="1374" spans="1:1" s="126" customFormat="1">
      <c r="A1374" s="86"/>
    </row>
    <row r="1375" spans="1:1" s="126" customFormat="1">
      <c r="A1375" s="86"/>
    </row>
    <row r="1376" spans="1:1" s="126" customFormat="1">
      <c r="A1376" s="86"/>
    </row>
    <row r="1377" spans="1:1" s="126" customFormat="1">
      <c r="A1377" s="86"/>
    </row>
    <row r="1378" spans="1:1" s="126" customFormat="1">
      <c r="A1378" s="86"/>
    </row>
    <row r="1379" spans="1:1" s="126" customFormat="1">
      <c r="A1379" s="86"/>
    </row>
    <row r="1380" spans="1:1" s="126" customFormat="1">
      <c r="A1380" s="86"/>
    </row>
    <row r="1381" spans="1:1" s="126" customFormat="1">
      <c r="A1381" s="86"/>
    </row>
    <row r="1382" spans="1:1" s="126" customFormat="1">
      <c r="A1382" s="86"/>
    </row>
    <row r="1383" spans="1:1" s="126" customFormat="1">
      <c r="A1383" s="86"/>
    </row>
    <row r="1384" spans="1:1" s="126" customFormat="1">
      <c r="A1384" s="86"/>
    </row>
    <row r="1385" spans="1:1" s="126" customFormat="1">
      <c r="A1385" s="86"/>
    </row>
    <row r="1386" spans="1:1" s="126" customFormat="1">
      <c r="A1386" s="86"/>
    </row>
    <row r="1387" spans="1:1" s="126" customFormat="1">
      <c r="A1387" s="86"/>
    </row>
    <row r="1388" spans="1:1" s="126" customFormat="1">
      <c r="A1388" s="86"/>
    </row>
    <row r="1389" spans="1:1" s="126" customFormat="1">
      <c r="A1389" s="86"/>
    </row>
    <row r="1390" spans="1:1" s="126" customFormat="1">
      <c r="A1390" s="86"/>
    </row>
    <row r="1391" spans="1:1" s="126" customFormat="1">
      <c r="A1391" s="86"/>
    </row>
    <row r="1392" spans="1:1" s="126" customFormat="1">
      <c r="A1392" s="86"/>
    </row>
    <row r="1393" spans="1:1" s="126" customFormat="1">
      <c r="A1393" s="86"/>
    </row>
    <row r="1394" spans="1:1" s="126" customFormat="1">
      <c r="A1394" s="86"/>
    </row>
    <row r="1395" spans="1:1" s="126" customFormat="1">
      <c r="A1395" s="86"/>
    </row>
    <row r="1396" spans="1:1" s="126" customFormat="1">
      <c r="A1396" s="86"/>
    </row>
    <row r="1397" spans="1:1" s="126" customFormat="1">
      <c r="A1397" s="86"/>
    </row>
    <row r="1398" spans="1:1" s="126" customFormat="1">
      <c r="A1398" s="86"/>
    </row>
    <row r="1399" spans="1:1" s="126" customFormat="1">
      <c r="A1399" s="86"/>
    </row>
    <row r="1400" spans="1:1" s="126" customFormat="1">
      <c r="A1400" s="86"/>
    </row>
    <row r="1401" spans="1:1" s="126" customFormat="1">
      <c r="A1401" s="86"/>
    </row>
    <row r="1402" spans="1:1" s="126" customFormat="1">
      <c r="A1402" s="86"/>
    </row>
    <row r="1403" spans="1:1" s="126" customFormat="1">
      <c r="A1403" s="86"/>
    </row>
    <row r="1404" spans="1:1" s="126" customFormat="1">
      <c r="A1404" s="86"/>
    </row>
    <row r="1405" spans="1:1" s="126" customFormat="1">
      <c r="A1405" s="86"/>
    </row>
    <row r="1406" spans="1:1" s="126" customFormat="1">
      <c r="A1406" s="86"/>
    </row>
    <row r="1407" spans="1:1" s="126" customFormat="1">
      <c r="A1407" s="86"/>
    </row>
    <row r="1408" spans="1:1" s="126" customFormat="1">
      <c r="A1408" s="86"/>
    </row>
    <row r="1409" spans="1:1" s="126" customFormat="1">
      <c r="A1409" s="86"/>
    </row>
    <row r="1410" spans="1:1" s="126" customFormat="1">
      <c r="A1410" s="86"/>
    </row>
    <row r="1411" spans="1:1" s="126" customFormat="1">
      <c r="A1411" s="86"/>
    </row>
    <row r="1412" spans="1:1" s="126" customFormat="1">
      <c r="A1412" s="86"/>
    </row>
    <row r="1413" spans="1:1" s="126" customFormat="1">
      <c r="A1413" s="86"/>
    </row>
    <row r="1414" spans="1:1" s="126" customFormat="1">
      <c r="A1414" s="86"/>
    </row>
    <row r="1415" spans="1:1" s="126" customFormat="1">
      <c r="A1415" s="86"/>
    </row>
    <row r="1416" spans="1:1" s="126" customFormat="1">
      <c r="A1416" s="86"/>
    </row>
    <row r="1417" spans="1:1" s="126" customFormat="1">
      <c r="A1417" s="86"/>
    </row>
    <row r="1418" spans="1:1" s="126" customFormat="1">
      <c r="A1418" s="86"/>
    </row>
    <row r="1419" spans="1:1" s="126" customFormat="1">
      <c r="A1419" s="86"/>
    </row>
    <row r="1420" spans="1:1" s="126" customFormat="1">
      <c r="A1420" s="86"/>
    </row>
    <row r="1421" spans="1:1" s="126" customFormat="1">
      <c r="A1421" s="86"/>
    </row>
    <row r="1422" spans="1:1" s="126" customFormat="1">
      <c r="A1422" s="86"/>
    </row>
    <row r="1423" spans="1:1" s="126" customFormat="1">
      <c r="A1423" s="86"/>
    </row>
    <row r="1424" spans="1:1" s="126" customFormat="1">
      <c r="A1424" s="86"/>
    </row>
    <row r="1425" spans="1:1" s="126" customFormat="1">
      <c r="A1425" s="86"/>
    </row>
    <row r="1426" spans="1:1" s="126" customFormat="1">
      <c r="A1426" s="86"/>
    </row>
    <row r="1427" spans="1:1" s="126" customFormat="1">
      <c r="A1427" s="86"/>
    </row>
    <row r="1428" spans="1:1" s="126" customFormat="1">
      <c r="A1428" s="86"/>
    </row>
    <row r="1429" spans="1:1" s="126" customFormat="1">
      <c r="A1429" s="86"/>
    </row>
    <row r="1430" spans="1:1" s="126" customFormat="1">
      <c r="A1430" s="86"/>
    </row>
    <row r="1431" spans="1:1" s="126" customFormat="1">
      <c r="A1431" s="86"/>
    </row>
    <row r="1432" spans="1:1" s="126" customFormat="1">
      <c r="A1432" s="86"/>
    </row>
    <row r="1433" spans="1:1" s="126" customFormat="1">
      <c r="A1433" s="86"/>
    </row>
    <row r="1434" spans="1:1" s="126" customFormat="1">
      <c r="A1434" s="86"/>
    </row>
    <row r="1435" spans="1:1" s="126" customFormat="1">
      <c r="A1435" s="86"/>
    </row>
    <row r="1436" spans="1:1" s="126" customFormat="1">
      <c r="A1436" s="86"/>
    </row>
    <row r="1437" spans="1:1" s="126" customFormat="1">
      <c r="A1437" s="86"/>
    </row>
    <row r="1438" spans="1:1" s="126" customFormat="1">
      <c r="A1438" s="86"/>
    </row>
    <row r="1439" spans="1:1" s="126" customFormat="1">
      <c r="A1439" s="86"/>
    </row>
    <row r="1440" spans="1:1" s="126" customFormat="1">
      <c r="A1440" s="86"/>
    </row>
    <row r="1441" spans="1:1" s="126" customFormat="1">
      <c r="A1441" s="86"/>
    </row>
    <row r="1442" spans="1:1" s="126" customFormat="1">
      <c r="A1442" s="86"/>
    </row>
    <row r="1443" spans="1:1" s="126" customFormat="1">
      <c r="A1443" s="86"/>
    </row>
    <row r="1444" spans="1:1" s="126" customFormat="1">
      <c r="A1444" s="86"/>
    </row>
    <row r="1445" spans="1:1" s="126" customFormat="1">
      <c r="A1445" s="86"/>
    </row>
    <row r="1446" spans="1:1" s="126" customFormat="1">
      <c r="A1446" s="86"/>
    </row>
    <row r="1447" spans="1:1" s="126" customFormat="1">
      <c r="A1447" s="86"/>
    </row>
    <row r="1448" spans="1:1" s="126" customFormat="1">
      <c r="A1448" s="86"/>
    </row>
    <row r="1449" spans="1:1" s="126" customFormat="1">
      <c r="A1449" s="86"/>
    </row>
    <row r="1450" spans="1:1" s="126" customFormat="1">
      <c r="A1450" s="86"/>
    </row>
    <row r="1451" spans="1:1" s="126" customFormat="1">
      <c r="A1451" s="86"/>
    </row>
    <row r="1452" spans="1:1" s="126" customFormat="1">
      <c r="A1452" s="86"/>
    </row>
    <row r="1453" spans="1:1" s="126" customFormat="1">
      <c r="A1453" s="86"/>
    </row>
    <row r="1454" spans="1:1" s="126" customFormat="1">
      <c r="A1454" s="86"/>
    </row>
    <row r="1455" spans="1:1" s="126" customFormat="1">
      <c r="A1455" s="86"/>
    </row>
    <row r="1456" spans="1:1" s="126" customFormat="1">
      <c r="A1456" s="86"/>
    </row>
    <row r="1457" spans="1:1" s="126" customFormat="1">
      <c r="A1457" s="86"/>
    </row>
    <row r="1458" spans="1:1" s="126" customFormat="1">
      <c r="A1458" s="86"/>
    </row>
    <row r="1459" spans="1:1" s="126" customFormat="1">
      <c r="A1459" s="86"/>
    </row>
    <row r="1460" spans="1:1" s="126" customFormat="1">
      <c r="A1460" s="86"/>
    </row>
    <row r="1461" spans="1:1" s="126" customFormat="1">
      <c r="A1461" s="86"/>
    </row>
    <row r="1462" spans="1:1" s="126" customFormat="1">
      <c r="A1462" s="86"/>
    </row>
    <row r="1463" spans="1:1" s="126" customFormat="1">
      <c r="A1463" s="86"/>
    </row>
    <row r="1464" spans="1:1" s="126" customFormat="1">
      <c r="A1464" s="86"/>
    </row>
    <row r="1465" spans="1:1" s="126" customFormat="1">
      <c r="A1465" s="86"/>
    </row>
    <row r="1466" spans="1:1" s="126" customFormat="1">
      <c r="A1466" s="86"/>
    </row>
    <row r="1467" spans="1:1" s="126" customFormat="1">
      <c r="A1467" s="86"/>
    </row>
    <row r="1468" spans="1:1" s="126" customFormat="1">
      <c r="A1468" s="86"/>
    </row>
    <row r="1469" spans="1:1" s="126" customFormat="1">
      <c r="A1469" s="86"/>
    </row>
    <row r="1470" spans="1:1" s="126" customFormat="1">
      <c r="A1470" s="86"/>
    </row>
    <row r="1471" spans="1:1" s="126" customFormat="1">
      <c r="A1471" s="86"/>
    </row>
    <row r="1472" spans="1:1" s="126" customFormat="1">
      <c r="A1472" s="86"/>
    </row>
    <row r="1473" spans="1:1" s="126" customFormat="1">
      <c r="A1473" s="86"/>
    </row>
    <row r="1474" spans="1:1" s="126" customFormat="1">
      <c r="A1474" s="86"/>
    </row>
    <row r="1475" spans="1:1" s="126" customFormat="1">
      <c r="A1475" s="86"/>
    </row>
    <row r="1476" spans="1:1" s="126" customFormat="1">
      <c r="A1476" s="86"/>
    </row>
    <row r="1477" spans="1:1" s="126" customFormat="1">
      <c r="A1477" s="86"/>
    </row>
    <row r="1478" spans="1:1" s="126" customFormat="1">
      <c r="A1478" s="86"/>
    </row>
    <row r="1479" spans="1:1" s="126" customFormat="1">
      <c r="A1479" s="86"/>
    </row>
    <row r="1480" spans="1:1" s="126" customFormat="1">
      <c r="A1480" s="86"/>
    </row>
    <row r="1481" spans="1:1" s="126" customFormat="1">
      <c r="A1481" s="86"/>
    </row>
    <row r="1482" spans="1:1" s="126" customFormat="1">
      <c r="A1482" s="86"/>
    </row>
    <row r="1483" spans="1:1" s="126" customFormat="1">
      <c r="A1483" s="86"/>
    </row>
    <row r="1484" spans="1:1" s="126" customFormat="1">
      <c r="A1484" s="86"/>
    </row>
    <row r="1485" spans="1:1" s="126" customFormat="1">
      <c r="A1485" s="86"/>
    </row>
    <row r="1486" spans="1:1" s="126" customFormat="1">
      <c r="A1486" s="86"/>
    </row>
    <row r="1487" spans="1:1" s="126" customFormat="1">
      <c r="A1487" s="86"/>
    </row>
    <row r="1488" spans="1:1" s="126" customFormat="1">
      <c r="A1488" s="86"/>
    </row>
    <row r="1489" spans="1:1" s="126" customFormat="1">
      <c r="A1489" s="86"/>
    </row>
    <row r="1490" spans="1:1" s="126" customFormat="1">
      <c r="A1490" s="86"/>
    </row>
    <row r="1491" spans="1:1" s="126" customFormat="1">
      <c r="A1491" s="86"/>
    </row>
    <row r="1492" spans="1:1" s="126" customFormat="1">
      <c r="A1492" s="86"/>
    </row>
    <row r="1493" spans="1:1" s="126" customFormat="1">
      <c r="A1493" s="86"/>
    </row>
    <row r="1494" spans="1:1" s="126" customFormat="1">
      <c r="A1494" s="86"/>
    </row>
    <row r="1495" spans="1:1" s="126" customFormat="1">
      <c r="A1495" s="86"/>
    </row>
    <row r="1496" spans="1:1" s="126" customFormat="1">
      <c r="A1496" s="86"/>
    </row>
    <row r="1497" spans="1:1" s="126" customFormat="1">
      <c r="A1497" s="86"/>
    </row>
    <row r="1498" spans="1:1" s="126" customFormat="1">
      <c r="A1498" s="86"/>
    </row>
    <row r="1499" spans="1:1" s="126" customFormat="1">
      <c r="A1499" s="86"/>
    </row>
    <row r="1500" spans="1:1" s="126" customFormat="1">
      <c r="A1500" s="86"/>
    </row>
    <row r="1501" spans="1:1" s="126" customFormat="1">
      <c r="A1501" s="86"/>
    </row>
    <row r="1502" spans="1:1" s="126" customFormat="1">
      <c r="A1502" s="86"/>
    </row>
    <row r="1503" spans="1:1" s="126" customFormat="1">
      <c r="A1503" s="86"/>
    </row>
    <row r="1504" spans="1:1" s="126" customFormat="1">
      <c r="A1504" s="86"/>
    </row>
    <row r="1505" spans="1:1" s="126" customFormat="1">
      <c r="A1505" s="86"/>
    </row>
    <row r="1506" spans="1:1" s="126" customFormat="1">
      <c r="A1506" s="86"/>
    </row>
    <row r="1507" spans="1:1" s="126" customFormat="1">
      <c r="A1507" s="86"/>
    </row>
    <row r="1508" spans="1:1" s="126" customFormat="1">
      <c r="A1508" s="86"/>
    </row>
    <row r="1509" spans="1:1" s="126" customFormat="1">
      <c r="A1509" s="86"/>
    </row>
    <row r="1510" spans="1:1" s="126" customFormat="1">
      <c r="A1510" s="86"/>
    </row>
    <row r="1511" spans="1:1" s="126" customFormat="1">
      <c r="A1511" s="86"/>
    </row>
    <row r="1512" spans="1:1" s="126" customFormat="1">
      <c r="A1512" s="86"/>
    </row>
    <row r="1513" spans="1:1" s="126" customFormat="1">
      <c r="A1513" s="86"/>
    </row>
    <row r="1514" spans="1:1" s="126" customFormat="1">
      <c r="A1514" s="86"/>
    </row>
    <row r="1515" spans="1:1" s="126" customFormat="1">
      <c r="A1515" s="86"/>
    </row>
    <row r="1516" spans="1:1" s="126" customFormat="1">
      <c r="A1516" s="86"/>
    </row>
    <row r="1517" spans="1:1" s="126" customFormat="1">
      <c r="A1517" s="86"/>
    </row>
    <row r="1518" spans="1:1" s="126" customFormat="1">
      <c r="A1518" s="86"/>
    </row>
    <row r="1519" spans="1:1" s="126" customFormat="1">
      <c r="A1519" s="86"/>
    </row>
    <row r="1520" spans="1:1" s="126" customFormat="1">
      <c r="A1520" s="86"/>
    </row>
    <row r="1521" spans="1:1" s="126" customFormat="1">
      <c r="A1521" s="86"/>
    </row>
    <row r="1522" spans="1:1" s="126" customFormat="1">
      <c r="A1522" s="86"/>
    </row>
    <row r="1523" spans="1:1" s="126" customFormat="1">
      <c r="A1523" s="86"/>
    </row>
    <row r="1524" spans="1:1" s="126" customFormat="1">
      <c r="A1524" s="86"/>
    </row>
    <row r="1525" spans="1:1" s="126" customFormat="1">
      <c r="A1525" s="86"/>
    </row>
    <row r="1526" spans="1:1" s="126" customFormat="1">
      <c r="A1526" s="86"/>
    </row>
    <row r="1527" spans="1:1" s="126" customFormat="1">
      <c r="A1527" s="86"/>
    </row>
    <row r="1528" spans="1:1" s="126" customFormat="1">
      <c r="A1528" s="86"/>
    </row>
    <row r="1529" spans="1:1" s="126" customFormat="1">
      <c r="A1529" s="86"/>
    </row>
    <row r="1530" spans="1:1" s="126" customFormat="1">
      <c r="A1530" s="86"/>
    </row>
    <row r="1531" spans="1:1" s="126" customFormat="1">
      <c r="A1531" s="86"/>
    </row>
    <row r="1532" spans="1:1" s="126" customFormat="1">
      <c r="A1532" s="86"/>
    </row>
    <row r="1533" spans="1:1" s="126" customFormat="1">
      <c r="A1533" s="86"/>
    </row>
    <row r="1534" spans="1:1" s="126" customFormat="1">
      <c r="A1534" s="86"/>
    </row>
    <row r="1535" spans="1:1" s="126" customFormat="1">
      <c r="A1535" s="86"/>
    </row>
    <row r="1536" spans="1:1" s="126" customFormat="1">
      <c r="A1536" s="86"/>
    </row>
    <row r="1537" spans="1:1" s="126" customFormat="1">
      <c r="A1537" s="86"/>
    </row>
    <row r="1538" spans="1:1" s="126" customFormat="1">
      <c r="A1538" s="86"/>
    </row>
    <row r="1539" spans="1:1" s="126" customFormat="1">
      <c r="A1539" s="86"/>
    </row>
    <row r="1540" spans="1:1" s="126" customFormat="1">
      <c r="A1540" s="86"/>
    </row>
    <row r="1541" spans="1:1" s="126" customFormat="1">
      <c r="A1541" s="86"/>
    </row>
    <row r="1542" spans="1:1" s="126" customFormat="1">
      <c r="A1542" s="86"/>
    </row>
    <row r="1543" spans="1:1" s="126" customFormat="1">
      <c r="A1543" s="86"/>
    </row>
    <row r="1544" spans="1:1" s="126" customFormat="1">
      <c r="A1544" s="86"/>
    </row>
    <row r="1545" spans="1:1" s="126" customFormat="1">
      <c r="A1545" s="86"/>
    </row>
    <row r="1546" spans="1:1" s="126" customFormat="1">
      <c r="A1546" s="86"/>
    </row>
    <row r="1547" spans="1:1" s="126" customFormat="1">
      <c r="A1547" s="86"/>
    </row>
    <row r="1548" spans="1:1" s="126" customFormat="1">
      <c r="A1548" s="86"/>
    </row>
    <row r="1549" spans="1:1" s="126" customFormat="1">
      <c r="A1549" s="86"/>
    </row>
    <row r="1550" spans="1:1" s="126" customFormat="1">
      <c r="A1550" s="86"/>
    </row>
    <row r="1551" spans="1:1" s="126" customFormat="1">
      <c r="A1551" s="86"/>
    </row>
    <row r="1552" spans="1:1" s="126" customFormat="1">
      <c r="A1552" s="86"/>
    </row>
    <row r="1553" spans="1:1" s="126" customFormat="1">
      <c r="A1553" s="86"/>
    </row>
    <row r="1554" spans="1:1" s="126" customFormat="1">
      <c r="A1554" s="86"/>
    </row>
    <row r="1555" spans="1:1" s="126" customFormat="1">
      <c r="A1555" s="86"/>
    </row>
    <row r="1556" spans="1:1" s="126" customFormat="1">
      <c r="A1556" s="86"/>
    </row>
    <row r="1557" spans="1:1" s="126" customFormat="1">
      <c r="A1557" s="86"/>
    </row>
    <row r="1558" spans="1:1" s="126" customFormat="1">
      <c r="A1558" s="86"/>
    </row>
    <row r="1559" spans="1:1" s="126" customFormat="1">
      <c r="A1559" s="86"/>
    </row>
    <row r="1560" spans="1:1" s="126" customFormat="1">
      <c r="A1560" s="86"/>
    </row>
    <row r="1561" spans="1:1" s="126" customFormat="1">
      <c r="A1561" s="86"/>
    </row>
    <row r="1562" spans="1:1" s="126" customFormat="1">
      <c r="A1562" s="86"/>
    </row>
    <row r="1563" spans="1:1" s="126" customFormat="1">
      <c r="A1563" s="86"/>
    </row>
    <row r="1564" spans="1:1" s="126" customFormat="1">
      <c r="A1564" s="86"/>
    </row>
    <row r="1565" spans="1:1" s="126" customFormat="1">
      <c r="A1565" s="86"/>
    </row>
    <row r="1566" spans="1:1" s="126" customFormat="1">
      <c r="A1566" s="86"/>
    </row>
    <row r="1567" spans="1:1" s="126" customFormat="1">
      <c r="A1567" s="86"/>
    </row>
    <row r="1568" spans="1:1" s="126" customFormat="1">
      <c r="A1568" s="86"/>
    </row>
    <row r="1569" spans="1:1" s="126" customFormat="1">
      <c r="A1569" s="86"/>
    </row>
    <row r="1570" spans="1:1" s="126" customFormat="1">
      <c r="A1570" s="86"/>
    </row>
    <row r="1571" spans="1:1" s="126" customFormat="1">
      <c r="A1571" s="86"/>
    </row>
    <row r="1572" spans="1:1" s="126" customFormat="1">
      <c r="A1572" s="86"/>
    </row>
    <row r="1573" spans="1:1" s="126" customFormat="1">
      <c r="A1573" s="86"/>
    </row>
    <row r="1574" spans="1:1" s="126" customFormat="1">
      <c r="A1574" s="86"/>
    </row>
    <row r="1575" spans="1:1" s="126" customFormat="1">
      <c r="A1575" s="86"/>
    </row>
    <row r="1576" spans="1:1" s="126" customFormat="1">
      <c r="A1576" s="86"/>
    </row>
    <row r="1577" spans="1:1" s="126" customFormat="1">
      <c r="A1577" s="86"/>
    </row>
    <row r="1578" spans="1:1" s="126" customFormat="1">
      <c r="A1578" s="86"/>
    </row>
    <row r="1579" spans="1:1" s="126" customFormat="1">
      <c r="A1579" s="86"/>
    </row>
    <row r="1580" spans="1:1" s="126" customFormat="1">
      <c r="A1580" s="86"/>
    </row>
    <row r="1581" spans="1:1" s="126" customFormat="1">
      <c r="A1581" s="86"/>
    </row>
    <row r="1582" spans="1:1" s="126" customFormat="1">
      <c r="A1582" s="86"/>
    </row>
    <row r="1583" spans="1:1" s="126" customFormat="1">
      <c r="A1583" s="86"/>
    </row>
    <row r="1584" spans="1:1" s="126" customFormat="1">
      <c r="A1584" s="86"/>
    </row>
    <row r="1585" spans="1:1" s="126" customFormat="1">
      <c r="A1585" s="86"/>
    </row>
    <row r="1586" spans="1:1" s="126" customFormat="1">
      <c r="A1586" s="86"/>
    </row>
    <row r="1587" spans="1:1" s="126" customFormat="1">
      <c r="A1587" s="86"/>
    </row>
    <row r="1588" spans="1:1" s="126" customFormat="1">
      <c r="A1588" s="86"/>
    </row>
    <row r="1589" spans="1:1" s="126" customFormat="1">
      <c r="A1589" s="86"/>
    </row>
    <row r="1590" spans="1:1" s="126" customFormat="1">
      <c r="A1590" s="86"/>
    </row>
    <row r="1591" spans="1:1" s="126" customFormat="1">
      <c r="A1591" s="86"/>
    </row>
    <row r="1592" spans="1:1" s="126" customFormat="1">
      <c r="A1592" s="86"/>
    </row>
    <row r="1593" spans="1:1" s="126" customFormat="1">
      <c r="A1593" s="86"/>
    </row>
    <row r="1594" spans="1:1" s="126" customFormat="1">
      <c r="A1594" s="86"/>
    </row>
    <row r="1595" spans="1:1" s="126" customFormat="1">
      <c r="A1595" s="86"/>
    </row>
    <row r="1596" spans="1:1" s="126" customFormat="1">
      <c r="A1596" s="86"/>
    </row>
    <row r="1597" spans="1:1" s="126" customFormat="1">
      <c r="A1597" s="86"/>
    </row>
    <row r="1598" spans="1:1" s="126" customFormat="1">
      <c r="A1598" s="86"/>
    </row>
    <row r="1599" spans="1:1" s="126" customFormat="1">
      <c r="A1599" s="86"/>
    </row>
    <row r="1600" spans="1:1" s="126" customFormat="1">
      <c r="A1600" s="86"/>
    </row>
    <row r="1601" spans="1:1" s="126" customFormat="1">
      <c r="A1601" s="86"/>
    </row>
    <row r="1602" spans="1:1" s="126" customFormat="1">
      <c r="A1602" s="86"/>
    </row>
    <row r="1603" spans="1:1" s="126" customFormat="1">
      <c r="A1603" s="86"/>
    </row>
    <row r="1604" spans="1:1" s="126" customFormat="1">
      <c r="A1604" s="86"/>
    </row>
    <row r="1605" spans="1:1" s="126" customFormat="1">
      <c r="A1605" s="86"/>
    </row>
    <row r="1606" spans="1:1" s="126" customFormat="1">
      <c r="A1606" s="86"/>
    </row>
    <row r="1607" spans="1:1" s="126" customFormat="1">
      <c r="A1607" s="86"/>
    </row>
    <row r="1608" spans="1:1" s="126" customFormat="1">
      <c r="A1608" s="86"/>
    </row>
    <row r="1609" spans="1:1" s="126" customFormat="1">
      <c r="A1609" s="86"/>
    </row>
    <row r="1610" spans="1:1" s="126" customFormat="1">
      <c r="A1610" s="86"/>
    </row>
    <row r="1611" spans="1:1" s="126" customFormat="1">
      <c r="A1611" s="86"/>
    </row>
    <row r="1612" spans="1:1" s="126" customFormat="1">
      <c r="A1612" s="86"/>
    </row>
    <row r="1613" spans="1:1" s="126" customFormat="1">
      <c r="A1613" s="86"/>
    </row>
    <row r="1614" spans="1:1" s="126" customFormat="1">
      <c r="A1614" s="86"/>
    </row>
    <row r="1615" spans="1:1" s="126" customFormat="1">
      <c r="A1615" s="86"/>
    </row>
    <row r="1616" spans="1:1" s="126" customFormat="1">
      <c r="A1616" s="86"/>
    </row>
    <row r="1617" spans="1:1" s="126" customFormat="1">
      <c r="A1617" s="86"/>
    </row>
    <row r="1618" spans="1:1" s="126" customFormat="1">
      <c r="A1618" s="86"/>
    </row>
    <row r="1619" spans="1:1" s="126" customFormat="1">
      <c r="A1619" s="86"/>
    </row>
    <row r="1620" spans="1:1" s="126" customFormat="1">
      <c r="A1620" s="86"/>
    </row>
    <row r="1621" spans="1:1" s="126" customFormat="1">
      <c r="A1621" s="86"/>
    </row>
    <row r="1622" spans="1:1" s="126" customFormat="1">
      <c r="A1622" s="86"/>
    </row>
    <row r="1623" spans="1:1" s="126" customFormat="1">
      <c r="A1623" s="86"/>
    </row>
    <row r="1624" spans="1:1" s="126" customFormat="1">
      <c r="A1624" s="86"/>
    </row>
    <row r="1625" spans="1:1" s="126" customFormat="1">
      <c r="A1625" s="86"/>
    </row>
    <row r="1626" spans="1:1" s="126" customFormat="1">
      <c r="A1626" s="86"/>
    </row>
    <row r="1627" spans="1:1" s="126" customFormat="1">
      <c r="A1627" s="86"/>
    </row>
    <row r="1628" spans="1:1" s="126" customFormat="1">
      <c r="A1628" s="86"/>
    </row>
    <row r="1629" spans="1:1" s="126" customFormat="1">
      <c r="A1629" s="86"/>
    </row>
    <row r="1630" spans="1:1" s="126" customFormat="1">
      <c r="A1630" s="86"/>
    </row>
    <row r="1631" spans="1:1" s="126" customFormat="1">
      <c r="A1631" s="86"/>
    </row>
    <row r="1632" spans="1:1" s="126" customFormat="1">
      <c r="A1632" s="86"/>
    </row>
    <row r="1633" spans="1:1" s="126" customFormat="1">
      <c r="A1633" s="86"/>
    </row>
    <row r="1634" spans="1:1" s="126" customFormat="1">
      <c r="A1634" s="86"/>
    </row>
    <row r="1635" spans="1:1" s="126" customFormat="1">
      <c r="A1635" s="86"/>
    </row>
    <row r="1636" spans="1:1" s="126" customFormat="1">
      <c r="A1636" s="86"/>
    </row>
    <row r="1637" spans="1:1" s="126" customFormat="1">
      <c r="A1637" s="86"/>
    </row>
    <row r="1638" spans="1:1" s="126" customFormat="1">
      <c r="A1638" s="86"/>
    </row>
    <row r="1639" spans="1:1" s="126" customFormat="1">
      <c r="A1639" s="86"/>
    </row>
    <row r="1640" spans="1:1" s="126" customFormat="1">
      <c r="A1640" s="86"/>
    </row>
    <row r="1641" spans="1:1" s="126" customFormat="1">
      <c r="A1641" s="86"/>
    </row>
    <row r="1642" spans="1:1" s="126" customFormat="1">
      <c r="A1642" s="86"/>
    </row>
    <row r="1643" spans="1:1" s="126" customFormat="1">
      <c r="A1643" s="86"/>
    </row>
    <row r="1644" spans="1:1" s="126" customFormat="1">
      <c r="A1644" s="86"/>
    </row>
    <row r="1645" spans="1:1" s="126" customFormat="1">
      <c r="A1645" s="86"/>
    </row>
    <row r="1646" spans="1:1" s="126" customFormat="1">
      <c r="A1646" s="86"/>
    </row>
    <row r="1647" spans="1:1" s="126" customFormat="1">
      <c r="A1647" s="86"/>
    </row>
    <row r="1648" spans="1:1" s="126" customFormat="1">
      <c r="A1648" s="86"/>
    </row>
    <row r="1649" spans="1:1" s="126" customFormat="1">
      <c r="A1649" s="86"/>
    </row>
    <row r="1650" spans="1:1" s="126" customFormat="1">
      <c r="A1650" s="86"/>
    </row>
    <row r="1651" spans="1:1" s="126" customFormat="1">
      <c r="A1651" s="86"/>
    </row>
    <row r="1652" spans="1:1" s="126" customFormat="1">
      <c r="A1652" s="86"/>
    </row>
    <row r="1653" spans="1:1" s="126" customFormat="1">
      <c r="A1653" s="86"/>
    </row>
    <row r="1654" spans="1:1" s="126" customFormat="1">
      <c r="A1654" s="86"/>
    </row>
    <row r="1655" spans="1:1" s="126" customFormat="1">
      <c r="A1655" s="86"/>
    </row>
    <row r="1656" spans="1:1" s="126" customFormat="1">
      <c r="A1656" s="86"/>
    </row>
    <row r="1657" spans="1:1" s="126" customFormat="1">
      <c r="A1657" s="86"/>
    </row>
    <row r="1658" spans="1:1" s="126" customFormat="1">
      <c r="A1658" s="86"/>
    </row>
    <row r="1659" spans="1:1" s="126" customFormat="1">
      <c r="A1659" s="86"/>
    </row>
    <row r="1660" spans="1:1" s="126" customFormat="1">
      <c r="A1660" s="86"/>
    </row>
    <row r="1661" spans="1:1" s="126" customFormat="1">
      <c r="A1661" s="86"/>
    </row>
    <row r="1662" spans="1:1" s="126" customFormat="1">
      <c r="A1662" s="86"/>
    </row>
    <row r="1663" spans="1:1" s="126" customFormat="1">
      <c r="A1663" s="86"/>
    </row>
    <row r="1664" spans="1:1" s="126" customFormat="1">
      <c r="A1664" s="86"/>
    </row>
    <row r="1665" spans="1:1" s="126" customFormat="1">
      <c r="A1665" s="86"/>
    </row>
    <row r="1666" spans="1:1" s="126" customFormat="1">
      <c r="A1666" s="86"/>
    </row>
    <row r="1667" spans="1:1" s="126" customFormat="1">
      <c r="A1667" s="86"/>
    </row>
    <row r="1668" spans="1:1" s="126" customFormat="1">
      <c r="A1668" s="86"/>
    </row>
    <row r="1669" spans="1:1" s="126" customFormat="1">
      <c r="A1669" s="86"/>
    </row>
    <row r="1670" spans="1:1" s="126" customFormat="1">
      <c r="A1670" s="86"/>
    </row>
    <row r="1671" spans="1:1" s="126" customFormat="1">
      <c r="A1671" s="86"/>
    </row>
    <row r="1672" spans="1:1" s="126" customFormat="1">
      <c r="A1672" s="86"/>
    </row>
    <row r="1673" spans="1:1" s="126" customFormat="1">
      <c r="A1673" s="86"/>
    </row>
    <row r="1674" spans="1:1" s="126" customFormat="1">
      <c r="A1674" s="86"/>
    </row>
    <row r="1675" spans="1:1" s="126" customFormat="1">
      <c r="A1675" s="86"/>
    </row>
    <row r="1676" spans="1:1" s="126" customFormat="1">
      <c r="A1676" s="86"/>
    </row>
    <row r="1677" spans="1:1" s="126" customFormat="1">
      <c r="A1677" s="86"/>
    </row>
    <row r="1678" spans="1:1" s="126" customFormat="1">
      <c r="A1678" s="86"/>
    </row>
    <row r="1679" spans="1:1" s="126" customFormat="1">
      <c r="A1679" s="86"/>
    </row>
    <row r="1680" spans="1:1" s="126" customFormat="1">
      <c r="A1680" s="86"/>
    </row>
    <row r="1681" spans="1:1" s="126" customFormat="1">
      <c r="A1681" s="86"/>
    </row>
    <row r="1682" spans="1:1" s="126" customFormat="1">
      <c r="A1682" s="86"/>
    </row>
    <row r="1683" spans="1:1" s="126" customFormat="1">
      <c r="A1683" s="86"/>
    </row>
    <row r="1684" spans="1:1" s="126" customFormat="1">
      <c r="A1684" s="86"/>
    </row>
    <row r="1685" spans="1:1" s="126" customFormat="1">
      <c r="A1685" s="86"/>
    </row>
    <row r="1686" spans="1:1" s="126" customFormat="1">
      <c r="A1686" s="86"/>
    </row>
    <row r="1687" spans="1:1" s="126" customFormat="1">
      <c r="A1687" s="86"/>
    </row>
    <row r="1688" spans="1:1" s="126" customFormat="1">
      <c r="A1688" s="86"/>
    </row>
    <row r="1689" spans="1:1" s="126" customFormat="1">
      <c r="A1689" s="86"/>
    </row>
    <row r="1690" spans="1:1" s="126" customFormat="1">
      <c r="A1690" s="86"/>
    </row>
    <row r="1691" spans="1:1" s="126" customFormat="1">
      <c r="A1691" s="86"/>
    </row>
    <row r="1692" spans="1:1" s="126" customFormat="1">
      <c r="A1692" s="86"/>
    </row>
    <row r="1693" spans="1:1" s="126" customFormat="1">
      <c r="A1693" s="86"/>
    </row>
    <row r="1694" spans="1:1" s="126" customFormat="1">
      <c r="A1694" s="86"/>
    </row>
    <row r="1695" spans="1:1" s="126" customFormat="1">
      <c r="A1695" s="86"/>
    </row>
    <row r="1696" spans="1:1" s="126" customFormat="1">
      <c r="A1696" s="86"/>
    </row>
    <row r="1697" spans="1:1" s="126" customFormat="1">
      <c r="A1697" s="86"/>
    </row>
    <row r="1698" spans="1:1" s="126" customFormat="1">
      <c r="A1698" s="86"/>
    </row>
    <row r="1699" spans="1:1" s="126" customFormat="1">
      <c r="A1699" s="86"/>
    </row>
    <row r="1700" spans="1:1" s="126" customFormat="1">
      <c r="A1700" s="86"/>
    </row>
    <row r="1701" spans="1:1" s="126" customFormat="1">
      <c r="A1701" s="86"/>
    </row>
    <row r="1702" spans="1:1" s="126" customFormat="1">
      <c r="A1702" s="86"/>
    </row>
    <row r="1703" spans="1:1" s="126" customFormat="1">
      <c r="A1703" s="86"/>
    </row>
    <row r="1704" spans="1:1" s="126" customFormat="1">
      <c r="A1704" s="86"/>
    </row>
    <row r="1705" spans="1:1" s="126" customFormat="1">
      <c r="A1705" s="86"/>
    </row>
    <row r="1706" spans="1:1" s="126" customFormat="1">
      <c r="A1706" s="86"/>
    </row>
    <row r="1707" spans="1:1" s="126" customFormat="1">
      <c r="A1707" s="86"/>
    </row>
    <row r="1708" spans="1:1" s="126" customFormat="1">
      <c r="A1708" s="86"/>
    </row>
    <row r="1709" spans="1:1" s="126" customFormat="1">
      <c r="A1709" s="86"/>
    </row>
    <row r="1710" spans="1:1" s="126" customFormat="1">
      <c r="A1710" s="86"/>
    </row>
    <row r="1711" spans="1:1" s="126" customFormat="1">
      <c r="A1711" s="86"/>
    </row>
    <row r="1712" spans="1:1" s="126" customFormat="1">
      <c r="A1712" s="86"/>
    </row>
    <row r="1713" spans="1:1" s="126" customFormat="1">
      <c r="A1713" s="86"/>
    </row>
    <row r="1714" spans="1:1" s="126" customFormat="1">
      <c r="A1714" s="86"/>
    </row>
    <row r="1715" spans="1:1" s="126" customFormat="1">
      <c r="A1715" s="86"/>
    </row>
    <row r="1716" spans="1:1" s="126" customFormat="1">
      <c r="A1716" s="86"/>
    </row>
    <row r="1717" spans="1:1" s="126" customFormat="1">
      <c r="A1717" s="86"/>
    </row>
    <row r="1718" spans="1:1" s="126" customFormat="1">
      <c r="A1718" s="86"/>
    </row>
    <row r="1719" spans="1:1" s="126" customFormat="1">
      <c r="A1719" s="86"/>
    </row>
    <row r="1720" spans="1:1" s="126" customFormat="1">
      <c r="A1720" s="86"/>
    </row>
    <row r="1721" spans="1:1" s="126" customFormat="1">
      <c r="A1721" s="86"/>
    </row>
    <row r="1722" spans="1:1" s="126" customFormat="1">
      <c r="A1722" s="86"/>
    </row>
    <row r="1723" spans="1:1" s="126" customFormat="1">
      <c r="A1723" s="86"/>
    </row>
    <row r="1724" spans="1:1" s="126" customFormat="1">
      <c r="A1724" s="86"/>
    </row>
    <row r="1725" spans="1:1" s="126" customFormat="1">
      <c r="A1725" s="86"/>
    </row>
    <row r="1726" spans="1:1" s="126" customFormat="1">
      <c r="A1726" s="86"/>
    </row>
    <row r="1727" spans="1:1" s="126" customFormat="1">
      <c r="A1727" s="86"/>
    </row>
    <row r="1728" spans="1:1" s="126" customFormat="1">
      <c r="A1728" s="86"/>
    </row>
    <row r="1729" spans="1:1" s="126" customFormat="1">
      <c r="A1729" s="86"/>
    </row>
    <row r="1730" spans="1:1" s="126" customFormat="1">
      <c r="A1730" s="86"/>
    </row>
    <row r="1731" spans="1:1" s="126" customFormat="1">
      <c r="A1731" s="86"/>
    </row>
    <row r="1732" spans="1:1" s="126" customFormat="1">
      <c r="A1732" s="86"/>
    </row>
    <row r="1733" spans="1:1" s="126" customFormat="1">
      <c r="A1733" s="86"/>
    </row>
    <row r="1734" spans="1:1" s="126" customFormat="1">
      <c r="A1734" s="86"/>
    </row>
    <row r="1735" spans="1:1" s="126" customFormat="1">
      <c r="A1735" s="86"/>
    </row>
    <row r="1736" spans="1:1" s="126" customFormat="1">
      <c r="A1736" s="86"/>
    </row>
    <row r="1737" spans="1:1" s="126" customFormat="1">
      <c r="A1737" s="86"/>
    </row>
    <row r="1738" spans="1:1" s="126" customFormat="1">
      <c r="A1738" s="86"/>
    </row>
    <row r="1739" spans="1:1" s="126" customFormat="1">
      <c r="A1739" s="86"/>
    </row>
    <row r="1740" spans="1:1" s="126" customFormat="1">
      <c r="A1740" s="86"/>
    </row>
    <row r="1741" spans="1:1" s="126" customFormat="1">
      <c r="A1741" s="86"/>
    </row>
    <row r="1742" spans="1:1" s="126" customFormat="1">
      <c r="A1742" s="86"/>
    </row>
    <row r="1743" spans="1:1" s="126" customFormat="1">
      <c r="A1743" s="86"/>
    </row>
    <row r="1744" spans="1:1" s="126" customFormat="1">
      <c r="A1744" s="86"/>
    </row>
    <row r="1745" spans="1:1" s="126" customFormat="1">
      <c r="A1745" s="86"/>
    </row>
    <row r="1746" spans="1:1" s="126" customFormat="1">
      <c r="A1746" s="86"/>
    </row>
    <row r="1747" spans="1:1" s="126" customFormat="1">
      <c r="A1747" s="86"/>
    </row>
    <row r="1748" spans="1:1" s="126" customFormat="1">
      <c r="A1748" s="86"/>
    </row>
    <row r="1749" spans="1:1" s="126" customFormat="1">
      <c r="A1749" s="86"/>
    </row>
    <row r="1750" spans="1:1" s="126" customFormat="1">
      <c r="A1750" s="86"/>
    </row>
    <row r="1751" spans="1:1" s="126" customFormat="1">
      <c r="A1751" s="86"/>
    </row>
    <row r="1752" spans="1:1" s="126" customFormat="1">
      <c r="A1752" s="86"/>
    </row>
    <row r="1753" spans="1:1" s="126" customFormat="1">
      <c r="A1753" s="86"/>
    </row>
    <row r="1754" spans="1:1" s="126" customFormat="1">
      <c r="A1754" s="86"/>
    </row>
    <row r="1755" spans="1:1" s="126" customFormat="1">
      <c r="A1755" s="86"/>
    </row>
    <row r="1756" spans="1:1" s="126" customFormat="1">
      <c r="A1756" s="86"/>
    </row>
    <row r="1757" spans="1:1" s="126" customFormat="1">
      <c r="A1757" s="86"/>
    </row>
    <row r="1758" spans="1:1" s="126" customFormat="1">
      <c r="A1758" s="86"/>
    </row>
    <row r="1759" spans="1:1" s="126" customFormat="1">
      <c r="A1759" s="86"/>
    </row>
    <row r="1760" spans="1:1" s="126" customFormat="1">
      <c r="A1760" s="86"/>
    </row>
    <row r="1761" spans="1:1" s="126" customFormat="1">
      <c r="A1761" s="86"/>
    </row>
    <row r="1762" spans="1:1" s="126" customFormat="1">
      <c r="A1762" s="86"/>
    </row>
    <row r="1763" spans="1:1" s="126" customFormat="1">
      <c r="A1763" s="86"/>
    </row>
    <row r="1764" spans="1:1" s="126" customFormat="1">
      <c r="A1764" s="86"/>
    </row>
    <row r="1765" spans="1:1" s="126" customFormat="1">
      <c r="A1765" s="86"/>
    </row>
    <row r="1766" spans="1:1" s="126" customFormat="1">
      <c r="A1766" s="86"/>
    </row>
    <row r="1767" spans="1:1" s="126" customFormat="1">
      <c r="A1767" s="86"/>
    </row>
    <row r="1768" spans="1:1" s="126" customFormat="1">
      <c r="A1768" s="86"/>
    </row>
    <row r="1769" spans="1:1" s="126" customFormat="1">
      <c r="A1769" s="86"/>
    </row>
    <row r="1770" spans="1:1" s="126" customFormat="1">
      <c r="A1770" s="86"/>
    </row>
    <row r="1771" spans="1:1" s="126" customFormat="1">
      <c r="A1771" s="86"/>
    </row>
    <row r="1772" spans="1:1" s="126" customFormat="1">
      <c r="A1772" s="86"/>
    </row>
    <row r="1773" spans="1:1" s="126" customFormat="1">
      <c r="A1773" s="86"/>
    </row>
    <row r="1774" spans="1:1" s="126" customFormat="1">
      <c r="A1774" s="86"/>
    </row>
    <row r="1775" spans="1:1" s="126" customFormat="1">
      <c r="A1775" s="86"/>
    </row>
    <row r="1776" spans="1:1" s="126" customFormat="1">
      <c r="A1776" s="86"/>
    </row>
    <row r="1777" spans="1:1" s="126" customFormat="1">
      <c r="A1777" s="86"/>
    </row>
    <row r="1778" spans="1:1" s="126" customFormat="1">
      <c r="A1778" s="86"/>
    </row>
    <row r="1779" spans="1:1" s="126" customFormat="1">
      <c r="A1779" s="86"/>
    </row>
    <row r="1780" spans="1:1" s="126" customFormat="1">
      <c r="A1780" s="86"/>
    </row>
    <row r="1781" spans="1:1" s="126" customFormat="1">
      <c r="A1781" s="86"/>
    </row>
    <row r="1782" spans="1:1" s="126" customFormat="1">
      <c r="A1782" s="86"/>
    </row>
    <row r="1783" spans="1:1" s="126" customFormat="1">
      <c r="A1783" s="86"/>
    </row>
    <row r="1784" spans="1:1" s="126" customFormat="1">
      <c r="A1784" s="86"/>
    </row>
    <row r="1785" spans="1:1" s="126" customFormat="1">
      <c r="A1785" s="86"/>
    </row>
    <row r="1786" spans="1:1" s="126" customFormat="1">
      <c r="A1786" s="86"/>
    </row>
    <row r="1787" spans="1:1" s="126" customFormat="1">
      <c r="A1787" s="86"/>
    </row>
    <row r="1788" spans="1:1" s="126" customFormat="1">
      <c r="A1788" s="86"/>
    </row>
    <row r="1789" spans="1:1" s="126" customFormat="1">
      <c r="A1789" s="86"/>
    </row>
    <row r="1790" spans="1:1" s="126" customFormat="1">
      <c r="A1790" s="86"/>
    </row>
    <row r="1791" spans="1:1" s="126" customFormat="1">
      <c r="A1791" s="86"/>
    </row>
    <row r="1792" spans="1:1" s="126" customFormat="1">
      <c r="A1792" s="86"/>
    </row>
    <row r="1793" spans="1:1" s="126" customFormat="1">
      <c r="A1793" s="86"/>
    </row>
    <row r="1794" spans="1:1" s="126" customFormat="1">
      <c r="A1794" s="86"/>
    </row>
    <row r="1795" spans="1:1" s="126" customFormat="1">
      <c r="A1795" s="86"/>
    </row>
    <row r="1796" spans="1:1" s="126" customFormat="1">
      <c r="A1796" s="86"/>
    </row>
    <row r="1797" spans="1:1" s="126" customFormat="1">
      <c r="A1797" s="86"/>
    </row>
    <row r="1798" spans="1:1" s="126" customFormat="1">
      <c r="A1798" s="86"/>
    </row>
    <row r="1799" spans="1:1" s="126" customFormat="1">
      <c r="A1799" s="86"/>
    </row>
    <row r="1800" spans="1:1" s="126" customFormat="1">
      <c r="A1800" s="86"/>
    </row>
    <row r="1801" spans="1:1" s="126" customFormat="1">
      <c r="A1801" s="86"/>
    </row>
    <row r="1802" spans="1:1" s="126" customFormat="1">
      <c r="A1802" s="86"/>
    </row>
    <row r="1803" spans="1:1" s="126" customFormat="1">
      <c r="A1803" s="86"/>
    </row>
    <row r="1804" spans="1:1" s="126" customFormat="1">
      <c r="A1804" s="86"/>
    </row>
    <row r="1805" spans="1:1" s="126" customFormat="1">
      <c r="A1805" s="86"/>
    </row>
    <row r="1806" spans="1:1" s="126" customFormat="1">
      <c r="A1806" s="86"/>
    </row>
    <row r="1807" spans="1:1" s="126" customFormat="1">
      <c r="A1807" s="86"/>
    </row>
    <row r="1808" spans="1:1" s="126" customFormat="1">
      <c r="A1808" s="86"/>
    </row>
    <row r="1809" spans="1:1" s="126" customFormat="1">
      <c r="A1809" s="86"/>
    </row>
    <row r="1810" spans="1:1" s="126" customFormat="1">
      <c r="A1810" s="86"/>
    </row>
    <row r="1811" spans="1:1" s="126" customFormat="1">
      <c r="A1811" s="86"/>
    </row>
    <row r="1812" spans="1:1" s="126" customFormat="1">
      <c r="A1812" s="86"/>
    </row>
    <row r="1813" spans="1:1" s="126" customFormat="1">
      <c r="A1813" s="86"/>
    </row>
    <row r="1814" spans="1:1" s="126" customFormat="1">
      <c r="A1814" s="86"/>
    </row>
    <row r="1815" spans="1:1" s="126" customFormat="1">
      <c r="A1815" s="86"/>
    </row>
    <row r="1816" spans="1:1" s="126" customFormat="1">
      <c r="A1816" s="86"/>
    </row>
    <row r="1817" spans="1:1" s="126" customFormat="1">
      <c r="A1817" s="86"/>
    </row>
    <row r="1818" spans="1:1" s="126" customFormat="1">
      <c r="A1818" s="86"/>
    </row>
    <row r="1819" spans="1:1" s="126" customFormat="1">
      <c r="A1819" s="86"/>
    </row>
    <row r="1820" spans="1:1" s="126" customFormat="1">
      <c r="A1820" s="86"/>
    </row>
    <row r="1821" spans="1:1" s="126" customFormat="1">
      <c r="A1821" s="86"/>
    </row>
    <row r="1822" spans="1:1" s="126" customFormat="1">
      <c r="A1822" s="86"/>
    </row>
    <row r="1823" spans="1:1" s="126" customFormat="1">
      <c r="A1823" s="86"/>
    </row>
    <row r="1824" spans="1:1" s="126" customFormat="1">
      <c r="A1824" s="86"/>
    </row>
    <row r="1825" spans="1:1" s="126" customFormat="1">
      <c r="A1825" s="86"/>
    </row>
    <row r="1826" spans="1:1" s="126" customFormat="1">
      <c r="A1826" s="86"/>
    </row>
    <row r="1827" spans="1:1" s="126" customFormat="1">
      <c r="A1827" s="86"/>
    </row>
    <row r="1828" spans="1:1" s="126" customFormat="1">
      <c r="A1828" s="86"/>
    </row>
    <row r="1829" spans="1:1" s="126" customFormat="1">
      <c r="A1829" s="86"/>
    </row>
    <row r="1830" spans="1:1" s="126" customFormat="1">
      <c r="A1830" s="86"/>
    </row>
    <row r="1831" spans="1:1" s="126" customFormat="1">
      <c r="A1831" s="86"/>
    </row>
    <row r="1832" spans="1:1" s="126" customFormat="1">
      <c r="A1832" s="86"/>
    </row>
    <row r="1833" spans="1:1" s="126" customFormat="1">
      <c r="A1833" s="86"/>
    </row>
    <row r="1834" spans="1:1" s="126" customFormat="1">
      <c r="A1834" s="86"/>
    </row>
    <row r="1835" spans="1:1" s="126" customFormat="1">
      <c r="A1835" s="86"/>
    </row>
    <row r="1836" spans="1:1" s="126" customFormat="1">
      <c r="A1836" s="86"/>
    </row>
    <row r="1837" spans="1:1" s="126" customFormat="1">
      <c r="A1837" s="86"/>
    </row>
    <row r="1838" spans="1:1" s="126" customFormat="1">
      <c r="A1838" s="86"/>
    </row>
    <row r="1839" spans="1:1" s="126" customFormat="1">
      <c r="A1839" s="86"/>
    </row>
    <row r="1840" spans="1:1" s="126" customFormat="1">
      <c r="A1840" s="86"/>
    </row>
    <row r="1841" spans="1:1" s="126" customFormat="1">
      <c r="A1841" s="86"/>
    </row>
    <row r="1842" spans="1:1" s="126" customFormat="1">
      <c r="A1842" s="86"/>
    </row>
    <row r="1843" spans="1:1" s="126" customFormat="1">
      <c r="A1843" s="86"/>
    </row>
    <row r="1844" spans="1:1" s="126" customFormat="1">
      <c r="A1844" s="86"/>
    </row>
    <row r="1845" spans="1:1" s="126" customFormat="1">
      <c r="A1845" s="86"/>
    </row>
    <row r="1846" spans="1:1" s="126" customFormat="1">
      <c r="A1846" s="86"/>
    </row>
    <row r="1847" spans="1:1" s="126" customFormat="1">
      <c r="A1847" s="86"/>
    </row>
    <row r="1848" spans="1:1" s="126" customFormat="1">
      <c r="A1848" s="86"/>
    </row>
    <row r="1849" spans="1:1" s="126" customFormat="1">
      <c r="A1849" s="86"/>
    </row>
    <row r="1850" spans="1:1" s="126" customFormat="1">
      <c r="A1850" s="86"/>
    </row>
    <row r="1851" spans="1:1" s="126" customFormat="1">
      <c r="A1851" s="86"/>
    </row>
    <row r="1852" spans="1:1" s="126" customFormat="1">
      <c r="A1852" s="86"/>
    </row>
    <row r="1853" spans="1:1" s="126" customFormat="1">
      <c r="A1853" s="86"/>
    </row>
    <row r="1854" spans="1:1" s="126" customFormat="1">
      <c r="A1854" s="86"/>
    </row>
    <row r="1855" spans="1:1" s="126" customFormat="1">
      <c r="A1855" s="86"/>
    </row>
    <row r="1856" spans="1:1" s="126" customFormat="1">
      <c r="A1856" s="86"/>
    </row>
    <row r="1857" spans="1:1" s="126" customFormat="1">
      <c r="A1857" s="86"/>
    </row>
    <row r="1858" spans="1:1" s="126" customFormat="1">
      <c r="A1858" s="86"/>
    </row>
    <row r="1859" spans="1:1" s="126" customFormat="1">
      <c r="A1859" s="86"/>
    </row>
    <row r="1860" spans="1:1" s="126" customFormat="1">
      <c r="A1860" s="86"/>
    </row>
    <row r="1861" spans="1:1" s="126" customFormat="1">
      <c r="A1861" s="86"/>
    </row>
    <row r="1862" spans="1:1" s="126" customFormat="1">
      <c r="A1862" s="86"/>
    </row>
    <row r="1863" spans="1:1" s="126" customFormat="1">
      <c r="A1863" s="86"/>
    </row>
    <row r="1864" spans="1:1" s="126" customFormat="1">
      <c r="A1864" s="86"/>
    </row>
    <row r="1865" spans="1:1" s="126" customFormat="1">
      <c r="A1865" s="86"/>
    </row>
    <row r="1866" spans="1:1" s="126" customFormat="1">
      <c r="A1866" s="86"/>
    </row>
    <row r="1867" spans="1:1" s="126" customFormat="1">
      <c r="A1867" s="86"/>
    </row>
    <row r="1868" spans="1:1" s="126" customFormat="1">
      <c r="A1868" s="86"/>
    </row>
    <row r="1869" spans="1:1" s="126" customFormat="1">
      <c r="A1869" s="86"/>
    </row>
    <row r="1870" spans="1:1" s="126" customFormat="1">
      <c r="A1870" s="86"/>
    </row>
    <row r="1871" spans="1:1" s="126" customFormat="1">
      <c r="A1871" s="86"/>
    </row>
    <row r="1872" spans="1:1" s="126" customFormat="1">
      <c r="A1872" s="86"/>
    </row>
    <row r="1873" spans="1:1" s="126" customFormat="1">
      <c r="A1873" s="86"/>
    </row>
    <row r="1874" spans="1:1" s="126" customFormat="1">
      <c r="A1874" s="86"/>
    </row>
    <row r="1875" spans="1:1" s="126" customFormat="1">
      <c r="A1875" s="86"/>
    </row>
    <row r="1876" spans="1:1" s="126" customFormat="1">
      <c r="A1876" s="86"/>
    </row>
    <row r="1877" spans="1:1" s="126" customFormat="1">
      <c r="A1877" s="86"/>
    </row>
    <row r="1878" spans="1:1" s="126" customFormat="1">
      <c r="A1878" s="86"/>
    </row>
    <row r="1879" spans="1:1" s="126" customFormat="1">
      <c r="A1879" s="86"/>
    </row>
    <row r="1880" spans="1:1" s="126" customFormat="1">
      <c r="A1880" s="86"/>
    </row>
    <row r="1881" spans="1:1" s="126" customFormat="1">
      <c r="A1881" s="86"/>
    </row>
    <row r="1882" spans="1:1" s="126" customFormat="1">
      <c r="A1882" s="86"/>
    </row>
    <row r="1883" spans="1:1" s="126" customFormat="1">
      <c r="A1883" s="86"/>
    </row>
    <row r="1884" spans="1:1" s="126" customFormat="1">
      <c r="A1884" s="86"/>
    </row>
    <row r="1885" spans="1:1" s="126" customFormat="1">
      <c r="A1885" s="86"/>
    </row>
    <row r="1886" spans="1:1" s="126" customFormat="1">
      <c r="A1886" s="86"/>
    </row>
    <row r="1887" spans="1:1" s="126" customFormat="1">
      <c r="A1887" s="86"/>
    </row>
    <row r="1888" spans="1:1" s="126" customFormat="1">
      <c r="A1888" s="86"/>
    </row>
    <row r="1889" spans="1:1" s="126" customFormat="1">
      <c r="A1889" s="86"/>
    </row>
    <row r="1890" spans="1:1" s="126" customFormat="1">
      <c r="A1890" s="86"/>
    </row>
    <row r="1891" spans="1:1" s="126" customFormat="1">
      <c r="A1891" s="86"/>
    </row>
    <row r="1892" spans="1:1" s="126" customFormat="1">
      <c r="A1892" s="86"/>
    </row>
    <row r="1893" spans="1:1" s="126" customFormat="1">
      <c r="A1893" s="86"/>
    </row>
    <row r="1894" spans="1:1" s="126" customFormat="1">
      <c r="A1894" s="86"/>
    </row>
    <row r="1895" spans="1:1" s="126" customFormat="1">
      <c r="A1895" s="86"/>
    </row>
    <row r="1896" spans="1:1" s="126" customFormat="1">
      <c r="A1896" s="86"/>
    </row>
    <row r="1897" spans="1:1" s="126" customFormat="1">
      <c r="A1897" s="86"/>
    </row>
    <row r="1898" spans="1:1" s="126" customFormat="1">
      <c r="A1898" s="86"/>
    </row>
    <row r="1899" spans="1:1" s="126" customFormat="1">
      <c r="A1899" s="86"/>
    </row>
    <row r="1900" spans="1:1" s="126" customFormat="1">
      <c r="A1900" s="86"/>
    </row>
    <row r="1901" spans="1:1" s="126" customFormat="1">
      <c r="A1901" s="86"/>
    </row>
    <row r="1902" spans="1:1" s="126" customFormat="1">
      <c r="A1902" s="86"/>
    </row>
    <row r="1903" spans="1:1" s="126" customFormat="1">
      <c r="A1903" s="86"/>
    </row>
    <row r="1904" spans="1:1" s="126" customFormat="1">
      <c r="A1904" s="86"/>
    </row>
    <row r="1905" spans="1:1" s="126" customFormat="1">
      <c r="A1905" s="86"/>
    </row>
    <row r="1906" spans="1:1" s="126" customFormat="1">
      <c r="A1906" s="86"/>
    </row>
    <row r="1907" spans="1:1" s="126" customFormat="1">
      <c r="A1907" s="86"/>
    </row>
    <row r="1908" spans="1:1" s="126" customFormat="1">
      <c r="A1908" s="86"/>
    </row>
    <row r="1909" spans="1:1" s="126" customFormat="1">
      <c r="A1909" s="86"/>
    </row>
    <row r="1910" spans="1:1" s="126" customFormat="1">
      <c r="A1910" s="86"/>
    </row>
    <row r="1911" spans="1:1" s="126" customFormat="1">
      <c r="A1911" s="86"/>
    </row>
    <row r="1912" spans="1:1" s="126" customFormat="1">
      <c r="A1912" s="86"/>
    </row>
    <row r="1913" spans="1:1" s="126" customFormat="1">
      <c r="A1913" s="86"/>
    </row>
    <row r="1914" spans="1:1" s="126" customFormat="1">
      <c r="A1914" s="86"/>
    </row>
    <row r="1915" spans="1:1" s="126" customFormat="1">
      <c r="A1915" s="86"/>
    </row>
    <row r="1916" spans="1:1" s="126" customFormat="1">
      <c r="A1916" s="86"/>
    </row>
    <row r="1917" spans="1:1" s="126" customFormat="1">
      <c r="A1917" s="86"/>
    </row>
    <row r="1918" spans="1:1" s="126" customFormat="1">
      <c r="A1918" s="86"/>
    </row>
    <row r="1919" spans="1:1" s="126" customFormat="1">
      <c r="A1919" s="86"/>
    </row>
    <row r="1920" spans="1:1" s="126" customFormat="1">
      <c r="A1920" s="86"/>
    </row>
    <row r="1921" spans="1:1" s="126" customFormat="1">
      <c r="A1921" s="86"/>
    </row>
    <row r="1922" spans="1:1" s="126" customFormat="1">
      <c r="A1922" s="86"/>
    </row>
    <row r="1923" spans="1:1" s="126" customFormat="1">
      <c r="A1923" s="86"/>
    </row>
    <row r="1924" spans="1:1" s="126" customFormat="1">
      <c r="A1924" s="86"/>
    </row>
    <row r="1925" spans="1:1" s="126" customFormat="1">
      <c r="A1925" s="86"/>
    </row>
    <row r="1926" spans="1:1" s="126" customFormat="1">
      <c r="A1926" s="86"/>
    </row>
    <row r="1927" spans="1:1" s="126" customFormat="1">
      <c r="A1927" s="86"/>
    </row>
    <row r="1928" spans="1:1" s="126" customFormat="1">
      <c r="A1928" s="86"/>
    </row>
    <row r="1929" spans="1:1" s="126" customFormat="1">
      <c r="A1929" s="86"/>
    </row>
    <row r="1930" spans="1:1" s="126" customFormat="1">
      <c r="A1930" s="86"/>
    </row>
    <row r="1931" spans="1:1" s="126" customFormat="1">
      <c r="A1931" s="86"/>
    </row>
    <row r="1932" spans="1:1" s="126" customFormat="1">
      <c r="A1932" s="86"/>
    </row>
    <row r="1933" spans="1:1" s="126" customFormat="1">
      <c r="A1933" s="86"/>
    </row>
    <row r="1934" spans="1:1" s="126" customFormat="1">
      <c r="A1934" s="86"/>
    </row>
    <row r="1935" spans="1:1" s="126" customFormat="1">
      <c r="A1935" s="86"/>
    </row>
    <row r="1936" spans="1:1" s="126" customFormat="1">
      <c r="A1936" s="86"/>
    </row>
    <row r="1937" spans="1:1" s="126" customFormat="1">
      <c r="A1937" s="86"/>
    </row>
    <row r="1938" spans="1:1" s="126" customFormat="1">
      <c r="A1938" s="86"/>
    </row>
    <row r="1939" spans="1:1" s="126" customFormat="1">
      <c r="A1939" s="86"/>
    </row>
    <row r="1940" spans="1:1" s="126" customFormat="1">
      <c r="A1940" s="86"/>
    </row>
    <row r="1941" spans="1:1" s="126" customFormat="1">
      <c r="A1941" s="86"/>
    </row>
    <row r="1942" spans="1:1" s="126" customFormat="1">
      <c r="A1942" s="86"/>
    </row>
    <row r="1943" spans="1:1" s="126" customFormat="1">
      <c r="A1943" s="86"/>
    </row>
    <row r="1944" spans="1:1" s="126" customFormat="1">
      <c r="A1944" s="86"/>
    </row>
    <row r="1945" spans="1:1" s="126" customFormat="1">
      <c r="A1945" s="86"/>
    </row>
    <row r="1946" spans="1:1" s="126" customFormat="1">
      <c r="A1946" s="86"/>
    </row>
    <row r="1947" spans="1:1" s="126" customFormat="1">
      <c r="A1947" s="86"/>
    </row>
    <row r="1948" spans="1:1" s="126" customFormat="1">
      <c r="A1948" s="86"/>
    </row>
    <row r="1949" spans="1:1" s="126" customFormat="1">
      <c r="A1949" s="86"/>
    </row>
    <row r="1950" spans="1:1" s="126" customFormat="1">
      <c r="A1950" s="86"/>
    </row>
    <row r="1951" spans="1:1" s="126" customFormat="1">
      <c r="A1951" s="86"/>
    </row>
    <row r="1952" spans="1:1" s="126" customFormat="1">
      <c r="A1952" s="86"/>
    </row>
    <row r="1953" spans="1:1" s="126" customFormat="1">
      <c r="A1953" s="86"/>
    </row>
    <row r="1954" spans="1:1" s="126" customFormat="1">
      <c r="A1954" s="86"/>
    </row>
    <row r="1955" spans="1:1" s="126" customFormat="1">
      <c r="A1955" s="86"/>
    </row>
    <row r="1956" spans="1:1" s="126" customFormat="1">
      <c r="A1956" s="86"/>
    </row>
    <row r="1957" spans="1:1" s="126" customFormat="1">
      <c r="A1957" s="86"/>
    </row>
    <row r="1958" spans="1:1" s="126" customFormat="1">
      <c r="A1958" s="86"/>
    </row>
    <row r="1959" spans="1:1" s="126" customFormat="1">
      <c r="A1959" s="86"/>
    </row>
    <row r="1960" spans="1:1" s="126" customFormat="1">
      <c r="A1960" s="86"/>
    </row>
    <row r="1961" spans="1:1" s="126" customFormat="1">
      <c r="A1961" s="86"/>
    </row>
    <row r="1962" spans="1:1" s="126" customFormat="1">
      <c r="A1962" s="86"/>
    </row>
    <row r="1963" spans="1:1" s="126" customFormat="1">
      <c r="A1963" s="86"/>
    </row>
    <row r="1964" spans="1:1" s="126" customFormat="1">
      <c r="A1964" s="86"/>
    </row>
    <row r="1965" spans="1:1" s="126" customFormat="1">
      <c r="A1965" s="86"/>
    </row>
    <row r="1966" spans="1:1" s="126" customFormat="1">
      <c r="A1966" s="86"/>
    </row>
    <row r="1967" spans="1:1" s="126" customFormat="1">
      <c r="A1967" s="86"/>
    </row>
    <row r="1968" spans="1:1" s="126" customFormat="1">
      <c r="A1968" s="86"/>
    </row>
    <row r="1969" spans="1:1" s="126" customFormat="1">
      <c r="A1969" s="86"/>
    </row>
    <row r="1970" spans="1:1" s="126" customFormat="1">
      <c r="A1970" s="86"/>
    </row>
    <row r="1971" spans="1:1" s="126" customFormat="1">
      <c r="A1971" s="86"/>
    </row>
    <row r="1972" spans="1:1" s="126" customFormat="1">
      <c r="A1972" s="86"/>
    </row>
    <row r="1973" spans="1:1" s="126" customFormat="1">
      <c r="A1973" s="86"/>
    </row>
    <row r="1974" spans="1:1" s="126" customFormat="1">
      <c r="A1974" s="86"/>
    </row>
    <row r="1975" spans="1:1" s="126" customFormat="1">
      <c r="A1975" s="86"/>
    </row>
    <row r="1976" spans="1:1" s="126" customFormat="1">
      <c r="A1976" s="86"/>
    </row>
    <row r="1977" spans="1:1" s="126" customFormat="1">
      <c r="A1977" s="86"/>
    </row>
    <row r="1978" spans="1:1" s="126" customFormat="1">
      <c r="A1978" s="86"/>
    </row>
    <row r="1979" spans="1:1" s="126" customFormat="1">
      <c r="A1979" s="86"/>
    </row>
    <row r="1980" spans="1:1" s="126" customFormat="1">
      <c r="A1980" s="86"/>
    </row>
    <row r="1981" spans="1:1" s="126" customFormat="1">
      <c r="A1981" s="86"/>
    </row>
    <row r="1982" spans="1:1" s="126" customFormat="1">
      <c r="A1982" s="86"/>
    </row>
    <row r="1983" spans="1:1" s="126" customFormat="1">
      <c r="A1983" s="86"/>
    </row>
    <row r="1984" spans="1:1" s="126" customFormat="1">
      <c r="A1984" s="86"/>
    </row>
    <row r="1985" spans="1:1" s="126" customFormat="1">
      <c r="A1985" s="86"/>
    </row>
    <row r="1986" spans="1:1" s="126" customFormat="1">
      <c r="A1986" s="86"/>
    </row>
    <row r="1987" spans="1:1" s="126" customFormat="1">
      <c r="A1987" s="86"/>
    </row>
    <row r="1988" spans="1:1" s="126" customFormat="1">
      <c r="A1988" s="86"/>
    </row>
    <row r="1989" spans="1:1" s="126" customFormat="1">
      <c r="A1989" s="86"/>
    </row>
    <row r="1990" spans="1:1" s="126" customFormat="1">
      <c r="A1990" s="86"/>
    </row>
    <row r="1991" spans="1:1" s="126" customFormat="1">
      <c r="A1991" s="86"/>
    </row>
    <row r="1992" spans="1:1" s="126" customFormat="1">
      <c r="A1992" s="86"/>
    </row>
    <row r="1993" spans="1:1" s="126" customFormat="1">
      <c r="A1993" s="86"/>
    </row>
    <row r="1994" spans="1:1" s="126" customFormat="1">
      <c r="A1994" s="86"/>
    </row>
    <row r="1995" spans="1:1" s="126" customFormat="1">
      <c r="A1995" s="86"/>
    </row>
    <row r="1996" spans="1:1" s="126" customFormat="1">
      <c r="A1996" s="86"/>
    </row>
    <row r="1997" spans="1:1" s="126" customFormat="1">
      <c r="A1997" s="86"/>
    </row>
    <row r="1998" spans="1:1" s="126" customFormat="1">
      <c r="A1998" s="86"/>
    </row>
    <row r="1999" spans="1:1" s="126" customFormat="1">
      <c r="A1999" s="86"/>
    </row>
    <row r="2000" spans="1:1" s="126" customFormat="1">
      <c r="A2000" s="86"/>
    </row>
    <row r="2001" spans="1:1" s="126" customFormat="1">
      <c r="A2001" s="86"/>
    </row>
    <row r="2002" spans="1:1" s="126" customFormat="1">
      <c r="A2002" s="86"/>
    </row>
    <row r="2003" spans="1:1" s="126" customFormat="1">
      <c r="A2003" s="86"/>
    </row>
    <row r="2004" spans="1:1" s="126" customFormat="1">
      <c r="A2004" s="86"/>
    </row>
    <row r="2005" spans="1:1" s="126" customFormat="1">
      <c r="A2005" s="86"/>
    </row>
    <row r="2006" spans="1:1" s="126" customFormat="1">
      <c r="A2006" s="86"/>
    </row>
    <row r="2007" spans="1:1" s="126" customFormat="1">
      <c r="A2007" s="86"/>
    </row>
    <row r="2008" spans="1:1" s="126" customFormat="1">
      <c r="A2008" s="86"/>
    </row>
    <row r="2009" spans="1:1" s="126" customFormat="1">
      <c r="A2009" s="86"/>
    </row>
    <row r="2010" spans="1:1" s="126" customFormat="1">
      <c r="A2010" s="86"/>
    </row>
    <row r="2011" spans="1:1" s="126" customFormat="1">
      <c r="A2011" s="86"/>
    </row>
    <row r="2012" spans="1:1" s="126" customFormat="1">
      <c r="A2012" s="86"/>
    </row>
    <row r="2013" spans="1:1" s="126" customFormat="1">
      <c r="A2013" s="86"/>
    </row>
    <row r="2014" spans="1:1" s="126" customFormat="1">
      <c r="A2014" s="86"/>
    </row>
    <row r="2015" spans="1:1" s="126" customFormat="1">
      <c r="A2015" s="86"/>
    </row>
    <row r="2016" spans="1:1" s="126" customFormat="1">
      <c r="A2016" s="86"/>
    </row>
    <row r="2017" spans="1:1" s="126" customFormat="1">
      <c r="A2017" s="86"/>
    </row>
    <row r="2018" spans="1:1" s="126" customFormat="1">
      <c r="A2018" s="86"/>
    </row>
    <row r="2019" spans="1:1" s="126" customFormat="1">
      <c r="A2019" s="86"/>
    </row>
    <row r="2020" spans="1:1" s="126" customFormat="1">
      <c r="A2020" s="86"/>
    </row>
    <row r="2021" spans="1:1" s="126" customFormat="1">
      <c r="A2021" s="86"/>
    </row>
    <row r="2022" spans="1:1" s="126" customFormat="1">
      <c r="A2022" s="86"/>
    </row>
    <row r="2023" spans="1:1" s="126" customFormat="1">
      <c r="A2023" s="86"/>
    </row>
    <row r="2024" spans="1:1" s="126" customFormat="1">
      <c r="A2024" s="86"/>
    </row>
    <row r="2025" spans="1:1" s="126" customFormat="1">
      <c r="A2025" s="86"/>
    </row>
    <row r="2026" spans="1:1" s="126" customFormat="1">
      <c r="A2026" s="86"/>
    </row>
    <row r="2027" spans="1:1" s="126" customFormat="1">
      <c r="A2027" s="86"/>
    </row>
    <row r="2028" spans="1:1" s="126" customFormat="1">
      <c r="A2028" s="86"/>
    </row>
    <row r="2029" spans="1:1" s="126" customFormat="1">
      <c r="A2029" s="86"/>
    </row>
    <row r="2030" spans="1:1" s="126" customFormat="1">
      <c r="A2030" s="86"/>
    </row>
    <row r="2031" spans="1:1" s="126" customFormat="1">
      <c r="A2031" s="86"/>
    </row>
    <row r="2032" spans="1:1" s="126" customFormat="1">
      <c r="A2032" s="86"/>
    </row>
    <row r="2033" spans="1:1" s="126" customFormat="1">
      <c r="A2033" s="86"/>
    </row>
    <row r="2034" spans="1:1" s="126" customFormat="1">
      <c r="A2034" s="86"/>
    </row>
    <row r="2035" spans="1:1" s="126" customFormat="1">
      <c r="A2035" s="86"/>
    </row>
    <row r="2036" spans="1:1" s="126" customFormat="1">
      <c r="A2036" s="86"/>
    </row>
    <row r="2037" spans="1:1" s="126" customFormat="1">
      <c r="A2037" s="86"/>
    </row>
    <row r="2038" spans="1:1" s="126" customFormat="1">
      <c r="A2038" s="86"/>
    </row>
    <row r="2039" spans="1:1" s="126" customFormat="1">
      <c r="A2039" s="86"/>
    </row>
    <row r="2040" spans="1:1" s="126" customFormat="1">
      <c r="A2040" s="86"/>
    </row>
    <row r="2041" spans="1:1" s="126" customFormat="1">
      <c r="A2041" s="86"/>
    </row>
    <row r="2042" spans="1:1" s="126" customFormat="1">
      <c r="A2042" s="86"/>
    </row>
    <row r="2043" spans="1:1" s="126" customFormat="1">
      <c r="A2043" s="86"/>
    </row>
    <row r="2044" spans="1:1" s="126" customFormat="1">
      <c r="A2044" s="86"/>
    </row>
    <row r="2045" spans="1:1" s="126" customFormat="1">
      <c r="A2045" s="86"/>
    </row>
    <row r="2046" spans="1:1" s="126" customFormat="1">
      <c r="A2046" s="86"/>
    </row>
    <row r="2047" spans="1:1" s="126" customFormat="1">
      <c r="A2047" s="86"/>
    </row>
    <row r="2048" spans="1:1" s="126" customFormat="1">
      <c r="A2048" s="86"/>
    </row>
    <row r="2049" spans="1:1" s="126" customFormat="1">
      <c r="A2049" s="86"/>
    </row>
    <row r="2050" spans="1:1" s="126" customFormat="1">
      <c r="A2050" s="86"/>
    </row>
    <row r="2051" spans="1:1" s="126" customFormat="1">
      <c r="A2051" s="86"/>
    </row>
    <row r="2052" spans="1:1" s="126" customFormat="1">
      <c r="A2052" s="86"/>
    </row>
    <row r="2053" spans="1:1" s="126" customFormat="1">
      <c r="A2053" s="86"/>
    </row>
    <row r="2054" spans="1:1" s="126" customFormat="1">
      <c r="A2054" s="86"/>
    </row>
    <row r="2055" spans="1:1" s="126" customFormat="1">
      <c r="A2055" s="86"/>
    </row>
    <row r="2056" spans="1:1" s="126" customFormat="1">
      <c r="A2056" s="86"/>
    </row>
    <row r="2057" spans="1:1" s="126" customFormat="1">
      <c r="A2057" s="86"/>
    </row>
    <row r="2058" spans="1:1" s="126" customFormat="1">
      <c r="A2058" s="86"/>
    </row>
    <row r="2059" spans="1:1" s="126" customFormat="1">
      <c r="A2059" s="86"/>
    </row>
    <row r="2060" spans="1:1" s="126" customFormat="1">
      <c r="A2060" s="86"/>
    </row>
    <row r="2061" spans="1:1" s="126" customFormat="1">
      <c r="A2061" s="86"/>
    </row>
    <row r="2062" spans="1:1" s="126" customFormat="1">
      <c r="A2062" s="86"/>
    </row>
    <row r="2063" spans="1:1" s="126" customFormat="1">
      <c r="A2063" s="86"/>
    </row>
    <row r="2064" spans="1:1" s="126" customFormat="1">
      <c r="A2064" s="86"/>
    </row>
    <row r="2065" spans="1:1" s="126" customFormat="1">
      <c r="A2065" s="86"/>
    </row>
    <row r="2066" spans="1:1" s="126" customFormat="1">
      <c r="A2066" s="86"/>
    </row>
    <row r="2067" spans="1:1" s="126" customFormat="1">
      <c r="A2067" s="86"/>
    </row>
    <row r="2068" spans="1:1" s="126" customFormat="1">
      <c r="A2068" s="86"/>
    </row>
    <row r="2069" spans="1:1" s="126" customFormat="1">
      <c r="A2069" s="86"/>
    </row>
    <row r="2070" spans="1:1" s="126" customFormat="1">
      <c r="A2070" s="86"/>
    </row>
    <row r="2071" spans="1:1" s="126" customFormat="1">
      <c r="A2071" s="86"/>
    </row>
    <row r="2072" spans="1:1" s="126" customFormat="1">
      <c r="A2072" s="86"/>
    </row>
    <row r="2073" spans="1:1" s="126" customFormat="1">
      <c r="A2073" s="86"/>
    </row>
    <row r="2074" spans="1:1" s="126" customFormat="1">
      <c r="A2074" s="86"/>
    </row>
    <row r="2075" spans="1:1" s="126" customFormat="1">
      <c r="A2075" s="86"/>
    </row>
    <row r="2076" spans="1:1" s="126" customFormat="1">
      <c r="A2076" s="86"/>
    </row>
    <row r="2077" spans="1:1" s="126" customFormat="1">
      <c r="A2077" s="86"/>
    </row>
    <row r="2078" spans="1:1" s="126" customFormat="1">
      <c r="A2078" s="86"/>
    </row>
    <row r="2079" spans="1:1" s="126" customFormat="1">
      <c r="A2079" s="86"/>
    </row>
    <row r="2080" spans="1:1" s="126" customFormat="1">
      <c r="A2080" s="86"/>
    </row>
    <row r="2081" spans="1:1" s="126" customFormat="1">
      <c r="A2081" s="86"/>
    </row>
    <row r="2082" spans="1:1" s="126" customFormat="1">
      <c r="A2082" s="86"/>
    </row>
    <row r="2083" spans="1:1" s="126" customFormat="1">
      <c r="A2083" s="86"/>
    </row>
    <row r="2084" spans="1:1" s="126" customFormat="1">
      <c r="A2084" s="86"/>
    </row>
    <row r="2085" spans="1:1" s="126" customFormat="1">
      <c r="A2085" s="86"/>
    </row>
    <row r="2086" spans="1:1" s="126" customFormat="1">
      <c r="A2086" s="86"/>
    </row>
    <row r="2087" spans="1:1" s="126" customFormat="1">
      <c r="A2087" s="86"/>
    </row>
    <row r="2088" spans="1:1" s="126" customFormat="1">
      <c r="A2088" s="86"/>
    </row>
    <row r="2089" spans="1:1" s="126" customFormat="1">
      <c r="A2089" s="86"/>
    </row>
    <row r="2090" spans="1:1" s="126" customFormat="1">
      <c r="A2090" s="86"/>
    </row>
    <row r="2091" spans="1:1" s="126" customFormat="1">
      <c r="A2091" s="86"/>
    </row>
    <row r="2092" spans="1:1" s="126" customFormat="1">
      <c r="A2092" s="86"/>
    </row>
    <row r="2093" spans="1:1" s="126" customFormat="1">
      <c r="A2093" s="86"/>
    </row>
    <row r="2094" spans="1:1" s="126" customFormat="1">
      <c r="A2094" s="86"/>
    </row>
    <row r="2095" spans="1:1" s="126" customFormat="1">
      <c r="A2095" s="86"/>
    </row>
    <row r="2096" spans="1:1" s="126" customFormat="1">
      <c r="A2096" s="86"/>
    </row>
    <row r="2097" spans="1:1" s="126" customFormat="1">
      <c r="A2097" s="86"/>
    </row>
    <row r="2098" spans="1:1" s="126" customFormat="1">
      <c r="A2098" s="86"/>
    </row>
    <row r="2099" spans="1:1" s="126" customFormat="1">
      <c r="A2099" s="86"/>
    </row>
    <row r="2100" spans="1:1" s="126" customFormat="1">
      <c r="A2100" s="86"/>
    </row>
    <row r="2101" spans="1:1" s="126" customFormat="1">
      <c r="A2101" s="86"/>
    </row>
    <row r="2102" spans="1:1" s="126" customFormat="1">
      <c r="A2102" s="86"/>
    </row>
    <row r="2103" spans="1:1" s="126" customFormat="1">
      <c r="A2103" s="86"/>
    </row>
    <row r="2104" spans="1:1" s="126" customFormat="1">
      <c r="A2104" s="86"/>
    </row>
    <row r="2105" spans="1:1" s="126" customFormat="1">
      <c r="A2105" s="86"/>
    </row>
    <row r="2106" spans="1:1" s="126" customFormat="1">
      <c r="A2106" s="86"/>
    </row>
    <row r="2107" spans="1:1" s="126" customFormat="1">
      <c r="A2107" s="86"/>
    </row>
    <row r="2108" spans="1:1" s="126" customFormat="1">
      <c r="A2108" s="86"/>
    </row>
    <row r="2109" spans="1:1" s="126" customFormat="1">
      <c r="A2109" s="86"/>
    </row>
    <row r="2110" spans="1:1" s="126" customFormat="1">
      <c r="A2110" s="86"/>
    </row>
    <row r="2111" spans="1:1" s="126" customFormat="1">
      <c r="A2111" s="86"/>
    </row>
    <row r="2112" spans="1:1" s="126" customFormat="1">
      <c r="A2112" s="86"/>
    </row>
    <row r="2113" spans="1:1" s="126" customFormat="1">
      <c r="A2113" s="86"/>
    </row>
    <row r="2114" spans="1:1" s="126" customFormat="1">
      <c r="A2114" s="86"/>
    </row>
    <row r="2115" spans="1:1" s="126" customFormat="1">
      <c r="A2115" s="86"/>
    </row>
    <row r="2116" spans="1:1" s="126" customFormat="1">
      <c r="A2116" s="86"/>
    </row>
    <row r="2117" spans="1:1" s="126" customFormat="1">
      <c r="A2117" s="86"/>
    </row>
    <row r="2118" spans="1:1" s="126" customFormat="1">
      <c r="A2118" s="86"/>
    </row>
    <row r="2119" spans="1:1" s="126" customFormat="1">
      <c r="A2119" s="86"/>
    </row>
    <row r="2120" spans="1:1" s="126" customFormat="1">
      <c r="A2120" s="86"/>
    </row>
    <row r="2121" spans="1:1" s="126" customFormat="1">
      <c r="A2121" s="86"/>
    </row>
    <row r="2122" spans="1:1" s="126" customFormat="1">
      <c r="A2122" s="86"/>
    </row>
    <row r="2123" spans="1:1" s="126" customFormat="1">
      <c r="A2123" s="86"/>
    </row>
    <row r="2124" spans="1:1" s="126" customFormat="1">
      <c r="A2124" s="86"/>
    </row>
    <row r="2125" spans="1:1" s="126" customFormat="1">
      <c r="A2125" s="86"/>
    </row>
    <row r="2126" spans="1:1" s="126" customFormat="1">
      <c r="A2126" s="86"/>
    </row>
    <row r="2127" spans="1:1" s="126" customFormat="1">
      <c r="A2127" s="86"/>
    </row>
    <row r="2128" spans="1:1" s="126" customFormat="1">
      <c r="A2128" s="86"/>
    </row>
    <row r="2129" spans="1:1" s="126" customFormat="1">
      <c r="A2129" s="86"/>
    </row>
    <row r="2130" spans="1:1" s="126" customFormat="1">
      <c r="A2130" s="86"/>
    </row>
    <row r="2131" spans="1:1" s="126" customFormat="1">
      <c r="A2131" s="86"/>
    </row>
    <row r="2132" spans="1:1" s="126" customFormat="1">
      <c r="A2132" s="86"/>
    </row>
    <row r="2133" spans="1:1" s="126" customFormat="1">
      <c r="A2133" s="86"/>
    </row>
    <row r="2134" spans="1:1" s="126" customFormat="1">
      <c r="A2134" s="86"/>
    </row>
    <row r="2135" spans="1:1" s="126" customFormat="1">
      <c r="A2135" s="86"/>
    </row>
    <row r="2136" spans="1:1" s="126" customFormat="1">
      <c r="A2136" s="86"/>
    </row>
    <row r="2137" spans="1:1" s="126" customFormat="1">
      <c r="A2137" s="86"/>
    </row>
    <row r="2138" spans="1:1" s="126" customFormat="1">
      <c r="A2138" s="86"/>
    </row>
    <row r="2139" spans="1:1" s="126" customFormat="1">
      <c r="A2139" s="86"/>
    </row>
    <row r="2140" spans="1:1" s="126" customFormat="1">
      <c r="A2140" s="86"/>
    </row>
    <row r="2141" spans="1:1" s="126" customFormat="1">
      <c r="A2141" s="86"/>
    </row>
    <row r="2142" spans="1:1" s="126" customFormat="1">
      <c r="A2142" s="86"/>
    </row>
    <row r="2143" spans="1:1" s="126" customFormat="1">
      <c r="A2143" s="86"/>
    </row>
    <row r="2144" spans="1:1" s="126" customFormat="1">
      <c r="A2144" s="86"/>
    </row>
    <row r="2145" spans="1:1" s="126" customFormat="1">
      <c r="A2145" s="86"/>
    </row>
    <row r="2146" spans="1:1" s="126" customFormat="1">
      <c r="A2146" s="86"/>
    </row>
    <row r="2147" spans="1:1" s="126" customFormat="1">
      <c r="A2147" s="86"/>
    </row>
    <row r="2148" spans="1:1" s="126" customFormat="1">
      <c r="A2148" s="86"/>
    </row>
    <row r="2149" spans="1:1" s="126" customFormat="1">
      <c r="A2149" s="86"/>
    </row>
    <row r="2150" spans="1:1" s="126" customFormat="1">
      <c r="A2150" s="86"/>
    </row>
    <row r="2151" spans="1:1" s="126" customFormat="1">
      <c r="A2151" s="86"/>
    </row>
    <row r="2152" spans="1:1" s="126" customFormat="1">
      <c r="A2152" s="86"/>
    </row>
    <row r="2153" spans="1:1" s="126" customFormat="1">
      <c r="A2153" s="86"/>
    </row>
    <row r="2154" spans="1:1" s="126" customFormat="1">
      <c r="A2154" s="86"/>
    </row>
    <row r="2155" spans="1:1" s="126" customFormat="1">
      <c r="A2155" s="86"/>
    </row>
    <row r="2156" spans="1:1" s="126" customFormat="1">
      <c r="A2156" s="86"/>
    </row>
    <row r="2157" spans="1:1" s="126" customFormat="1">
      <c r="A2157" s="86"/>
    </row>
    <row r="2158" spans="1:1" s="126" customFormat="1">
      <c r="A2158" s="86"/>
    </row>
    <row r="2159" spans="1:1" s="126" customFormat="1">
      <c r="A2159" s="86"/>
    </row>
    <row r="2160" spans="1:1" s="126" customFormat="1">
      <c r="A2160" s="86"/>
    </row>
    <row r="2161" spans="1:1" s="126" customFormat="1">
      <c r="A2161" s="86"/>
    </row>
    <row r="2162" spans="1:1" s="126" customFormat="1">
      <c r="A2162" s="86"/>
    </row>
    <row r="2163" spans="1:1" s="126" customFormat="1">
      <c r="A2163" s="86"/>
    </row>
    <row r="2164" spans="1:1" s="126" customFormat="1">
      <c r="A2164" s="86"/>
    </row>
    <row r="2165" spans="1:1" s="126" customFormat="1">
      <c r="A2165" s="86"/>
    </row>
    <row r="2166" spans="1:1" s="126" customFormat="1">
      <c r="A2166" s="86"/>
    </row>
    <row r="2167" spans="1:1" s="126" customFormat="1">
      <c r="A2167" s="86"/>
    </row>
    <row r="2168" spans="1:1" s="126" customFormat="1">
      <c r="A2168" s="86"/>
    </row>
    <row r="2169" spans="1:1" s="126" customFormat="1">
      <c r="A2169" s="86"/>
    </row>
    <row r="2170" spans="1:1" s="126" customFormat="1">
      <c r="A2170" s="86"/>
    </row>
    <row r="2171" spans="1:1" s="126" customFormat="1">
      <c r="A2171" s="86"/>
    </row>
    <row r="2172" spans="1:1" s="126" customFormat="1">
      <c r="A2172" s="86"/>
    </row>
    <row r="2173" spans="1:1" s="126" customFormat="1">
      <c r="A2173" s="86"/>
    </row>
    <row r="2174" spans="1:1" s="126" customFormat="1">
      <c r="A2174" s="86"/>
    </row>
    <row r="2175" spans="1:1" s="126" customFormat="1">
      <c r="A2175" s="86"/>
    </row>
    <row r="2176" spans="1:1" s="126" customFormat="1">
      <c r="A2176" s="86"/>
    </row>
    <row r="2177" spans="1:1" s="126" customFormat="1">
      <c r="A2177" s="86"/>
    </row>
    <row r="2178" spans="1:1" s="126" customFormat="1">
      <c r="A2178" s="86"/>
    </row>
    <row r="2179" spans="1:1" s="126" customFormat="1">
      <c r="A2179" s="86"/>
    </row>
    <row r="2180" spans="1:1" s="126" customFormat="1">
      <c r="A2180" s="86"/>
    </row>
    <row r="2181" spans="1:1" s="126" customFormat="1">
      <c r="A2181" s="86"/>
    </row>
    <row r="2182" spans="1:1" s="126" customFormat="1">
      <c r="A2182" s="86"/>
    </row>
    <row r="2183" spans="1:1" s="126" customFormat="1">
      <c r="A2183" s="86"/>
    </row>
    <row r="2184" spans="1:1" s="126" customFormat="1">
      <c r="A2184" s="86"/>
    </row>
    <row r="2185" spans="1:1" s="126" customFormat="1">
      <c r="A2185" s="86"/>
    </row>
    <row r="2186" spans="1:1" s="126" customFormat="1">
      <c r="A2186" s="86"/>
    </row>
    <row r="2187" spans="1:1" s="126" customFormat="1">
      <c r="A2187" s="86"/>
    </row>
    <row r="2188" spans="1:1" s="126" customFormat="1">
      <c r="A2188" s="86"/>
    </row>
    <row r="2189" spans="1:1" s="126" customFormat="1">
      <c r="A2189" s="86"/>
    </row>
    <row r="2190" spans="1:1" s="126" customFormat="1">
      <c r="A2190" s="86"/>
    </row>
    <row r="2191" spans="1:1" s="126" customFormat="1">
      <c r="A2191" s="86"/>
    </row>
    <row r="2192" spans="1:1" s="126" customFormat="1">
      <c r="A2192" s="86"/>
    </row>
    <row r="2193" spans="1:1" s="126" customFormat="1">
      <c r="A2193" s="86"/>
    </row>
    <row r="2194" spans="1:1" s="126" customFormat="1">
      <c r="A2194" s="86"/>
    </row>
    <row r="2195" spans="1:1" s="126" customFormat="1">
      <c r="A2195" s="86"/>
    </row>
    <row r="2196" spans="1:1" s="126" customFormat="1">
      <c r="A2196" s="86"/>
    </row>
    <row r="2197" spans="1:1" s="126" customFormat="1">
      <c r="A2197" s="86"/>
    </row>
    <row r="2198" spans="1:1" s="126" customFormat="1">
      <c r="A2198" s="86"/>
    </row>
    <row r="2199" spans="1:1" s="126" customFormat="1">
      <c r="A2199" s="86"/>
    </row>
    <row r="2200" spans="1:1" s="126" customFormat="1">
      <c r="A2200" s="86"/>
    </row>
    <row r="2201" spans="1:1" s="126" customFormat="1">
      <c r="A2201" s="86"/>
    </row>
    <row r="2202" spans="1:1" s="126" customFormat="1">
      <c r="A2202" s="86"/>
    </row>
    <row r="2203" spans="1:1" s="126" customFormat="1">
      <c r="A2203" s="86"/>
    </row>
    <row r="2204" spans="1:1" s="126" customFormat="1">
      <c r="A2204" s="86"/>
    </row>
    <row r="2205" spans="1:1" s="126" customFormat="1">
      <c r="A2205" s="86"/>
    </row>
    <row r="2206" spans="1:1" s="126" customFormat="1">
      <c r="A2206" s="86"/>
    </row>
    <row r="2207" spans="1:1" s="126" customFormat="1">
      <c r="A2207" s="86"/>
    </row>
    <row r="2208" spans="1:1" s="126" customFormat="1">
      <c r="A2208" s="86"/>
    </row>
    <row r="2209" spans="1:1" s="126" customFormat="1">
      <c r="A2209" s="86"/>
    </row>
    <row r="2210" spans="1:1" s="126" customFormat="1">
      <c r="A2210" s="86"/>
    </row>
    <row r="2211" spans="1:1" s="126" customFormat="1">
      <c r="A2211" s="86"/>
    </row>
    <row r="2212" spans="1:1" s="126" customFormat="1">
      <c r="A2212" s="86"/>
    </row>
    <row r="2213" spans="1:1" s="126" customFormat="1">
      <c r="A2213" s="86"/>
    </row>
    <row r="2214" spans="1:1" s="126" customFormat="1">
      <c r="A2214" s="86"/>
    </row>
    <row r="2215" spans="1:1" s="126" customFormat="1">
      <c r="A2215" s="86"/>
    </row>
    <row r="2216" spans="1:1" s="126" customFormat="1">
      <c r="A2216" s="86"/>
    </row>
    <row r="2217" spans="1:1" s="126" customFormat="1">
      <c r="A2217" s="86"/>
    </row>
    <row r="2218" spans="1:1" s="126" customFormat="1">
      <c r="A2218" s="86"/>
    </row>
    <row r="2219" spans="1:1" s="126" customFormat="1">
      <c r="A2219" s="86"/>
    </row>
    <row r="2220" spans="1:1" s="126" customFormat="1">
      <c r="A2220" s="86"/>
    </row>
    <row r="2221" spans="1:1" s="126" customFormat="1">
      <c r="A2221" s="86"/>
    </row>
    <row r="2222" spans="1:1" s="126" customFormat="1">
      <c r="A2222" s="86"/>
    </row>
    <row r="2223" spans="1:1" s="126" customFormat="1">
      <c r="A2223" s="86"/>
    </row>
    <row r="2224" spans="1:1" s="126" customFormat="1">
      <c r="A2224" s="86"/>
    </row>
    <row r="2225" spans="1:1" s="126" customFormat="1">
      <c r="A2225" s="86"/>
    </row>
    <row r="2226" spans="1:1" s="126" customFormat="1">
      <c r="A2226" s="86"/>
    </row>
    <row r="2227" spans="1:1" s="126" customFormat="1">
      <c r="A2227" s="86"/>
    </row>
    <row r="2228" spans="1:1" s="126" customFormat="1">
      <c r="A2228" s="86"/>
    </row>
    <row r="2229" spans="1:1" s="126" customFormat="1">
      <c r="A2229" s="86"/>
    </row>
    <row r="2230" spans="1:1" s="126" customFormat="1">
      <c r="A2230" s="86"/>
    </row>
    <row r="2231" spans="1:1" s="126" customFormat="1">
      <c r="A2231" s="86"/>
    </row>
    <row r="2232" spans="1:1" s="126" customFormat="1">
      <c r="A2232" s="86"/>
    </row>
    <row r="2233" spans="1:1" s="126" customFormat="1">
      <c r="A2233" s="86"/>
    </row>
    <row r="2234" spans="1:1" s="126" customFormat="1">
      <c r="A2234" s="86"/>
    </row>
    <row r="2235" spans="1:1" s="126" customFormat="1">
      <c r="A2235" s="86"/>
    </row>
    <row r="2236" spans="1:1" s="126" customFormat="1">
      <c r="A2236" s="86"/>
    </row>
    <row r="2237" spans="1:1" s="126" customFormat="1">
      <c r="A2237" s="86"/>
    </row>
    <row r="2238" spans="1:1" s="126" customFormat="1">
      <c r="A2238" s="86"/>
    </row>
    <row r="2239" spans="1:1" s="126" customFormat="1">
      <c r="A2239" s="86"/>
    </row>
    <row r="2240" spans="1:1" s="126" customFormat="1">
      <c r="A2240" s="86"/>
    </row>
    <row r="2241" spans="1:1" s="126" customFormat="1">
      <c r="A2241" s="86"/>
    </row>
    <row r="2242" spans="1:1" s="126" customFormat="1">
      <c r="A2242" s="86"/>
    </row>
    <row r="2243" spans="1:1" s="126" customFormat="1">
      <c r="A2243" s="86"/>
    </row>
    <row r="2244" spans="1:1" s="126" customFormat="1">
      <c r="A2244" s="86"/>
    </row>
    <row r="2245" spans="1:1" s="126" customFormat="1">
      <c r="A2245" s="86"/>
    </row>
    <row r="2246" spans="1:1" s="126" customFormat="1">
      <c r="A2246" s="86"/>
    </row>
    <row r="2247" spans="1:1" s="126" customFormat="1">
      <c r="A2247" s="86"/>
    </row>
    <row r="2248" spans="1:1" s="126" customFormat="1">
      <c r="A2248" s="86"/>
    </row>
    <row r="2249" spans="1:1" s="126" customFormat="1">
      <c r="A2249" s="86"/>
    </row>
    <row r="2250" spans="1:1" s="126" customFormat="1">
      <c r="A2250" s="86"/>
    </row>
    <row r="2251" spans="1:1" s="126" customFormat="1">
      <c r="A2251" s="86"/>
    </row>
    <row r="2252" spans="1:1" s="126" customFormat="1">
      <c r="A2252" s="86"/>
    </row>
    <row r="2253" spans="1:1" s="126" customFormat="1">
      <c r="A2253" s="86"/>
    </row>
    <row r="2254" spans="1:1" s="126" customFormat="1">
      <c r="A2254" s="86"/>
    </row>
    <row r="2255" spans="1:1" s="126" customFormat="1">
      <c r="A2255" s="86"/>
    </row>
    <row r="2256" spans="1:1" s="126" customFormat="1">
      <c r="A2256" s="86"/>
    </row>
    <row r="2257" spans="1:1" s="126" customFormat="1">
      <c r="A2257" s="86"/>
    </row>
    <row r="2258" spans="1:1" s="126" customFormat="1">
      <c r="A2258" s="86"/>
    </row>
    <row r="2259" spans="1:1" s="126" customFormat="1">
      <c r="A2259" s="86"/>
    </row>
    <row r="2260" spans="1:1" s="126" customFormat="1">
      <c r="A2260" s="86"/>
    </row>
    <row r="2261" spans="1:1" s="126" customFormat="1">
      <c r="A2261" s="86"/>
    </row>
    <row r="2262" spans="1:1" s="126" customFormat="1">
      <c r="A2262" s="86"/>
    </row>
    <row r="2263" spans="1:1" s="126" customFormat="1">
      <c r="A2263" s="86"/>
    </row>
    <row r="2264" spans="1:1" s="126" customFormat="1">
      <c r="A2264" s="86"/>
    </row>
    <row r="2265" spans="1:1" s="126" customFormat="1">
      <c r="A2265" s="86"/>
    </row>
    <row r="2266" spans="1:1" s="126" customFormat="1">
      <c r="A2266" s="86"/>
    </row>
    <row r="2267" spans="1:1" s="126" customFormat="1">
      <c r="A2267" s="86"/>
    </row>
    <row r="2268" spans="1:1" s="126" customFormat="1">
      <c r="A2268" s="86"/>
    </row>
    <row r="2269" spans="1:1" s="126" customFormat="1">
      <c r="A2269" s="86"/>
    </row>
    <row r="2270" spans="1:1" s="126" customFormat="1">
      <c r="A2270" s="86"/>
    </row>
    <row r="2271" spans="1:1" s="126" customFormat="1">
      <c r="A2271" s="86"/>
    </row>
    <row r="2272" spans="1:1" s="126" customFormat="1">
      <c r="A2272" s="86"/>
    </row>
    <row r="2273" spans="1:1" s="126" customFormat="1">
      <c r="A2273" s="86"/>
    </row>
    <row r="2274" spans="1:1" s="126" customFormat="1">
      <c r="A2274" s="86"/>
    </row>
    <row r="2275" spans="1:1" s="126" customFormat="1">
      <c r="A2275" s="86"/>
    </row>
    <row r="2276" spans="1:1" s="126" customFormat="1">
      <c r="A2276" s="86"/>
    </row>
    <row r="2277" spans="1:1" s="126" customFormat="1">
      <c r="A2277" s="86"/>
    </row>
    <row r="2278" spans="1:1" s="126" customFormat="1">
      <c r="A2278" s="86"/>
    </row>
    <row r="2279" spans="1:1" s="126" customFormat="1">
      <c r="A2279" s="86"/>
    </row>
    <row r="2280" spans="1:1" s="126" customFormat="1">
      <c r="A2280" s="86"/>
    </row>
    <row r="2281" spans="1:1" s="126" customFormat="1">
      <c r="A2281" s="86"/>
    </row>
    <row r="2282" spans="1:1" s="126" customFormat="1">
      <c r="A2282" s="86"/>
    </row>
    <row r="2283" spans="1:1" s="126" customFormat="1">
      <c r="A2283" s="86"/>
    </row>
    <row r="2284" spans="1:1" s="126" customFormat="1">
      <c r="A2284" s="86"/>
    </row>
    <row r="2285" spans="1:1" s="126" customFormat="1">
      <c r="A2285" s="86"/>
    </row>
    <row r="2286" spans="1:1" s="126" customFormat="1">
      <c r="A2286" s="86"/>
    </row>
    <row r="2287" spans="1:1" s="126" customFormat="1">
      <c r="A2287" s="86"/>
    </row>
    <row r="2288" spans="1:1" s="126" customFormat="1">
      <c r="A2288" s="86"/>
    </row>
    <row r="2289" spans="1:1" s="126" customFormat="1">
      <c r="A2289" s="86"/>
    </row>
    <row r="2290" spans="1:1" s="126" customFormat="1">
      <c r="A2290" s="86"/>
    </row>
    <row r="2291" spans="1:1" s="126" customFormat="1">
      <c r="A2291" s="86"/>
    </row>
    <row r="2292" spans="1:1" s="126" customFormat="1">
      <c r="A2292" s="86"/>
    </row>
    <row r="2293" spans="1:1" s="126" customFormat="1">
      <c r="A2293" s="86"/>
    </row>
    <row r="2294" spans="1:1" s="126" customFormat="1">
      <c r="A2294" s="86"/>
    </row>
    <row r="2295" spans="1:1" s="126" customFormat="1">
      <c r="A2295" s="86"/>
    </row>
    <row r="2296" spans="1:1" s="126" customFormat="1">
      <c r="A2296" s="86"/>
    </row>
    <row r="2297" spans="1:1" s="126" customFormat="1">
      <c r="A2297" s="86"/>
    </row>
    <row r="2298" spans="1:1" s="126" customFormat="1">
      <c r="A2298" s="86"/>
    </row>
    <row r="2299" spans="1:1" s="126" customFormat="1">
      <c r="A2299" s="86"/>
    </row>
    <row r="2300" spans="1:1" s="126" customFormat="1">
      <c r="A2300" s="86"/>
    </row>
    <row r="2301" spans="1:1" s="126" customFormat="1">
      <c r="A2301" s="86"/>
    </row>
    <row r="2302" spans="1:1" s="126" customFormat="1">
      <c r="A2302" s="86"/>
    </row>
    <row r="2303" spans="1:1" s="126" customFormat="1">
      <c r="A2303" s="86"/>
    </row>
    <row r="2304" spans="1:1" s="126" customFormat="1">
      <c r="A2304" s="86"/>
    </row>
    <row r="2305" spans="1:1" s="126" customFormat="1">
      <c r="A2305" s="86"/>
    </row>
    <row r="2306" spans="1:1" s="126" customFormat="1">
      <c r="A2306" s="86"/>
    </row>
    <row r="2307" spans="1:1" s="126" customFormat="1">
      <c r="A2307" s="86"/>
    </row>
    <row r="2308" spans="1:1" s="126" customFormat="1">
      <c r="A2308" s="86"/>
    </row>
    <row r="2309" spans="1:1" s="126" customFormat="1">
      <c r="A2309" s="86"/>
    </row>
    <row r="2310" spans="1:1" s="126" customFormat="1">
      <c r="A2310" s="86"/>
    </row>
    <row r="2311" spans="1:1" s="126" customFormat="1">
      <c r="A2311" s="86"/>
    </row>
    <row r="2312" spans="1:1" s="126" customFormat="1">
      <c r="A2312" s="86"/>
    </row>
    <row r="2313" spans="1:1" s="126" customFormat="1">
      <c r="A2313" s="86"/>
    </row>
    <row r="2314" spans="1:1" s="126" customFormat="1">
      <c r="A2314" s="86"/>
    </row>
    <row r="2315" spans="1:1" s="126" customFormat="1">
      <c r="A2315" s="86"/>
    </row>
    <row r="2316" spans="1:1" s="126" customFormat="1">
      <c r="A2316" s="86"/>
    </row>
    <row r="2317" spans="1:1" s="126" customFormat="1">
      <c r="A2317" s="86"/>
    </row>
    <row r="2318" spans="1:1" s="126" customFormat="1">
      <c r="A2318" s="86"/>
    </row>
    <row r="2319" spans="1:1" s="126" customFormat="1">
      <c r="A2319" s="86"/>
    </row>
    <row r="2320" spans="1:1" s="126" customFormat="1">
      <c r="A2320" s="86"/>
    </row>
    <row r="2321" spans="1:1" s="126" customFormat="1">
      <c r="A2321" s="86"/>
    </row>
    <row r="2322" spans="1:1" s="126" customFormat="1">
      <c r="A2322" s="86"/>
    </row>
    <row r="2323" spans="1:1" s="126" customFormat="1">
      <c r="A2323" s="86"/>
    </row>
    <row r="2324" spans="1:1" s="126" customFormat="1">
      <c r="A2324" s="86"/>
    </row>
    <row r="2325" spans="1:1" s="126" customFormat="1">
      <c r="A2325" s="86"/>
    </row>
    <row r="2326" spans="1:1" s="126" customFormat="1">
      <c r="A2326" s="86"/>
    </row>
    <row r="2327" spans="1:1" s="126" customFormat="1">
      <c r="A2327" s="86"/>
    </row>
    <row r="2328" spans="1:1" s="126" customFormat="1">
      <c r="A2328" s="86"/>
    </row>
    <row r="2329" spans="1:1" s="126" customFormat="1">
      <c r="A2329" s="86"/>
    </row>
    <row r="2330" spans="1:1" s="126" customFormat="1">
      <c r="A2330" s="86"/>
    </row>
    <row r="2331" spans="1:1" s="126" customFormat="1">
      <c r="A2331" s="86"/>
    </row>
    <row r="2332" spans="1:1" s="126" customFormat="1">
      <c r="A2332" s="86"/>
    </row>
    <row r="2333" spans="1:1" s="126" customFormat="1">
      <c r="A2333" s="86"/>
    </row>
    <row r="2334" spans="1:1" s="126" customFormat="1">
      <c r="A2334" s="86"/>
    </row>
    <row r="2335" spans="1:1" s="126" customFormat="1">
      <c r="A2335" s="86"/>
    </row>
    <row r="2336" spans="1:1" s="126" customFormat="1">
      <c r="A2336" s="86"/>
    </row>
    <row r="2337" spans="1:1" s="126" customFormat="1">
      <c r="A2337" s="86"/>
    </row>
    <row r="2338" spans="1:1" s="126" customFormat="1">
      <c r="A2338" s="86"/>
    </row>
    <row r="2339" spans="1:1" s="126" customFormat="1">
      <c r="A2339" s="86"/>
    </row>
    <row r="2340" spans="1:1" s="126" customFormat="1">
      <c r="A2340" s="86"/>
    </row>
    <row r="2341" spans="1:1" s="126" customFormat="1">
      <c r="A2341" s="86"/>
    </row>
    <row r="2342" spans="1:1" s="126" customFormat="1">
      <c r="A2342" s="86"/>
    </row>
    <row r="2343" spans="1:1" s="126" customFormat="1">
      <c r="A2343" s="86"/>
    </row>
    <row r="2344" spans="1:1" s="126" customFormat="1">
      <c r="A2344" s="86"/>
    </row>
    <row r="2345" spans="1:1" s="126" customFormat="1">
      <c r="A2345" s="86"/>
    </row>
    <row r="2346" spans="1:1" s="126" customFormat="1">
      <c r="A2346" s="86"/>
    </row>
    <row r="2347" spans="1:1" s="126" customFormat="1">
      <c r="A2347" s="86"/>
    </row>
    <row r="2348" spans="1:1" s="126" customFormat="1">
      <c r="A2348" s="86"/>
    </row>
    <row r="2349" spans="1:1" s="126" customFormat="1">
      <c r="A2349" s="86"/>
    </row>
    <row r="2350" spans="1:1" s="126" customFormat="1">
      <c r="A2350" s="86"/>
    </row>
    <row r="2351" spans="1:1" s="126" customFormat="1">
      <c r="A2351" s="86"/>
    </row>
    <row r="2352" spans="1:1" s="126" customFormat="1">
      <c r="A2352" s="86"/>
    </row>
    <row r="2353" spans="1:1" s="126" customFormat="1">
      <c r="A2353" s="86"/>
    </row>
    <row r="2354" spans="1:1" s="126" customFormat="1">
      <c r="A2354" s="86"/>
    </row>
    <row r="2355" spans="1:1" s="126" customFormat="1">
      <c r="A2355" s="86"/>
    </row>
    <row r="2356" spans="1:1" s="126" customFormat="1">
      <c r="A2356" s="86"/>
    </row>
    <row r="2357" spans="1:1" s="126" customFormat="1">
      <c r="A2357" s="86"/>
    </row>
    <row r="2358" spans="1:1" s="126" customFormat="1">
      <c r="A2358" s="86"/>
    </row>
    <row r="2359" spans="1:1" s="126" customFormat="1">
      <c r="A2359" s="86"/>
    </row>
    <row r="2360" spans="1:1" s="126" customFormat="1">
      <c r="A2360" s="86"/>
    </row>
    <row r="2361" spans="1:1" s="126" customFormat="1">
      <c r="A2361" s="86"/>
    </row>
    <row r="2362" spans="1:1" s="126" customFormat="1">
      <c r="A2362" s="86"/>
    </row>
    <row r="2363" spans="1:1" s="126" customFormat="1">
      <c r="A2363" s="86"/>
    </row>
    <row r="2364" spans="1:1" s="126" customFormat="1">
      <c r="A2364" s="86"/>
    </row>
    <row r="2365" spans="1:1" s="126" customFormat="1">
      <c r="A2365" s="86"/>
    </row>
    <row r="2366" spans="1:1" s="126" customFormat="1">
      <c r="A2366" s="86"/>
    </row>
    <row r="2367" spans="1:1" s="126" customFormat="1">
      <c r="A2367" s="86"/>
    </row>
    <row r="2368" spans="1:1" s="126" customFormat="1">
      <c r="A2368" s="86"/>
    </row>
    <row r="2369" spans="1:1" s="126" customFormat="1">
      <c r="A2369" s="86"/>
    </row>
    <row r="2370" spans="1:1" s="126" customFormat="1">
      <c r="A2370" s="86"/>
    </row>
    <row r="2371" spans="1:1" s="126" customFormat="1">
      <c r="A2371" s="86"/>
    </row>
    <row r="2372" spans="1:1" s="126" customFormat="1">
      <c r="A2372" s="86"/>
    </row>
    <row r="2373" spans="1:1" s="126" customFormat="1">
      <c r="A2373" s="86"/>
    </row>
    <row r="2374" spans="1:1" s="126" customFormat="1">
      <c r="A2374" s="86"/>
    </row>
    <row r="2375" spans="1:1" s="126" customFormat="1">
      <c r="A2375" s="86"/>
    </row>
    <row r="2376" spans="1:1" s="126" customFormat="1">
      <c r="A2376" s="86"/>
    </row>
    <row r="2377" spans="1:1" s="126" customFormat="1">
      <c r="A2377" s="86"/>
    </row>
    <row r="2378" spans="1:1" s="126" customFormat="1">
      <c r="A2378" s="86"/>
    </row>
    <row r="2379" spans="1:1" s="126" customFormat="1">
      <c r="A2379" s="86"/>
    </row>
    <row r="2380" spans="1:1" s="126" customFormat="1">
      <c r="A2380" s="86"/>
    </row>
    <row r="2381" spans="1:1" s="126" customFormat="1">
      <c r="A2381" s="86"/>
    </row>
    <row r="2382" spans="1:1" s="126" customFormat="1">
      <c r="A2382" s="86"/>
    </row>
    <row r="2383" spans="1:1" s="126" customFormat="1">
      <c r="A2383" s="86"/>
    </row>
    <row r="2384" spans="1:1" s="126" customFormat="1">
      <c r="A2384" s="86"/>
    </row>
    <row r="2385" spans="1:1" s="126" customFormat="1">
      <c r="A2385" s="86"/>
    </row>
    <row r="2386" spans="1:1" s="126" customFormat="1">
      <c r="A2386" s="86"/>
    </row>
    <row r="2387" spans="1:1" s="126" customFormat="1">
      <c r="A2387" s="86"/>
    </row>
    <row r="2388" spans="1:1" s="126" customFormat="1">
      <c r="A2388" s="86"/>
    </row>
    <row r="2389" spans="1:1" s="126" customFormat="1">
      <c r="A2389" s="86"/>
    </row>
    <row r="2390" spans="1:1" s="126" customFormat="1">
      <c r="A2390" s="86"/>
    </row>
    <row r="2391" spans="1:1" s="126" customFormat="1">
      <c r="A2391" s="86"/>
    </row>
    <row r="2392" spans="1:1" s="126" customFormat="1">
      <c r="A2392" s="86"/>
    </row>
    <row r="2393" spans="1:1" s="126" customFormat="1">
      <c r="A2393" s="86"/>
    </row>
    <row r="2394" spans="1:1" s="126" customFormat="1">
      <c r="A2394" s="86"/>
    </row>
    <row r="2395" spans="1:1" s="126" customFormat="1">
      <c r="A2395" s="86"/>
    </row>
    <row r="2396" spans="1:1" s="126" customFormat="1">
      <c r="A2396" s="86"/>
    </row>
    <row r="2397" spans="1:1" s="126" customFormat="1">
      <c r="A2397" s="86"/>
    </row>
    <row r="2398" spans="1:1" s="126" customFormat="1">
      <c r="A2398" s="86"/>
    </row>
    <row r="2399" spans="1:1" s="126" customFormat="1">
      <c r="A2399" s="86"/>
    </row>
    <row r="2400" spans="1:1" s="126" customFormat="1">
      <c r="A2400" s="86"/>
    </row>
    <row r="2401" spans="1:1" s="126" customFormat="1">
      <c r="A2401" s="86"/>
    </row>
    <row r="2402" spans="1:1" s="126" customFormat="1">
      <c r="A2402" s="86"/>
    </row>
    <row r="2403" spans="1:1" s="126" customFormat="1">
      <c r="A2403" s="86"/>
    </row>
    <row r="2404" spans="1:1" s="126" customFormat="1">
      <c r="A2404" s="86"/>
    </row>
    <row r="2405" spans="1:1" s="126" customFormat="1">
      <c r="A2405" s="86"/>
    </row>
    <row r="2406" spans="1:1" s="126" customFormat="1">
      <c r="A2406" s="86"/>
    </row>
    <row r="2407" spans="1:1" s="126" customFormat="1">
      <c r="A2407" s="86"/>
    </row>
    <row r="2408" spans="1:1" s="126" customFormat="1">
      <c r="A2408" s="86"/>
    </row>
    <row r="2409" spans="1:1" s="126" customFormat="1">
      <c r="A2409" s="86"/>
    </row>
    <row r="2410" spans="1:1" s="126" customFormat="1">
      <c r="A2410" s="86"/>
    </row>
    <row r="2411" spans="1:1" s="126" customFormat="1">
      <c r="A2411" s="86"/>
    </row>
    <row r="2412" spans="1:1" s="126" customFormat="1">
      <c r="A2412" s="86"/>
    </row>
    <row r="2413" spans="1:1" s="126" customFormat="1">
      <c r="A2413" s="86"/>
    </row>
    <row r="2414" spans="1:1" s="126" customFormat="1">
      <c r="A2414" s="86"/>
    </row>
    <row r="2415" spans="1:1" s="126" customFormat="1">
      <c r="A2415" s="86"/>
    </row>
    <row r="2416" spans="1:1" s="126" customFormat="1">
      <c r="A2416" s="86"/>
    </row>
    <row r="2417" spans="1:1" s="126" customFormat="1">
      <c r="A2417" s="86"/>
    </row>
    <row r="2418" spans="1:1" s="126" customFormat="1">
      <c r="A2418" s="86"/>
    </row>
    <row r="2419" spans="1:1" s="126" customFormat="1">
      <c r="A2419" s="86"/>
    </row>
    <row r="2420" spans="1:1" s="126" customFormat="1">
      <c r="A2420" s="86"/>
    </row>
    <row r="2421" spans="1:1" s="126" customFormat="1">
      <c r="A2421" s="86"/>
    </row>
    <row r="2422" spans="1:1" s="126" customFormat="1">
      <c r="A2422" s="86"/>
    </row>
    <row r="2423" spans="1:1" s="126" customFormat="1">
      <c r="A2423" s="86"/>
    </row>
    <row r="2424" spans="1:1" s="126" customFormat="1">
      <c r="A2424" s="86"/>
    </row>
    <row r="2425" spans="1:1" s="126" customFormat="1">
      <c r="A2425" s="86"/>
    </row>
    <row r="2426" spans="1:1" s="126" customFormat="1">
      <c r="A2426" s="86"/>
    </row>
    <row r="2427" spans="1:1" s="126" customFormat="1">
      <c r="A2427" s="86"/>
    </row>
    <row r="2428" spans="1:1" s="126" customFormat="1">
      <c r="A2428" s="86"/>
    </row>
    <row r="2429" spans="1:1" s="126" customFormat="1">
      <c r="A2429" s="86"/>
    </row>
    <row r="2430" spans="1:1" s="126" customFormat="1">
      <c r="A2430" s="86"/>
    </row>
    <row r="2431" spans="1:1" s="126" customFormat="1">
      <c r="A2431" s="86"/>
    </row>
    <row r="2432" spans="1:1" s="126" customFormat="1">
      <c r="A2432" s="86"/>
    </row>
    <row r="2433" spans="1:1" s="126" customFormat="1">
      <c r="A2433" s="86"/>
    </row>
    <row r="2434" spans="1:1" s="126" customFormat="1">
      <c r="A2434" s="86"/>
    </row>
    <row r="2435" spans="1:1" s="126" customFormat="1">
      <c r="A2435" s="86"/>
    </row>
    <row r="2436" spans="1:1" s="126" customFormat="1">
      <c r="A2436" s="86"/>
    </row>
    <row r="2437" spans="1:1" s="126" customFormat="1">
      <c r="A2437" s="86"/>
    </row>
    <row r="2438" spans="1:1" s="126" customFormat="1">
      <c r="A2438" s="86"/>
    </row>
    <row r="2439" spans="1:1" s="126" customFormat="1">
      <c r="A2439" s="86"/>
    </row>
    <row r="2440" spans="1:1" s="126" customFormat="1">
      <c r="A2440" s="86"/>
    </row>
    <row r="2441" spans="1:1" s="126" customFormat="1">
      <c r="A2441" s="86"/>
    </row>
    <row r="2442" spans="1:1" s="126" customFormat="1">
      <c r="A2442" s="86"/>
    </row>
    <row r="2443" spans="1:1" s="126" customFormat="1">
      <c r="A2443" s="86"/>
    </row>
    <row r="2444" spans="1:1" s="126" customFormat="1">
      <c r="A2444" s="86"/>
    </row>
    <row r="2445" spans="1:1" s="126" customFormat="1">
      <c r="A2445" s="86"/>
    </row>
    <row r="2446" spans="1:1" s="126" customFormat="1">
      <c r="A2446" s="86"/>
    </row>
    <row r="2447" spans="1:1" s="126" customFormat="1">
      <c r="A2447" s="86"/>
    </row>
    <row r="2448" spans="1:1" s="126" customFormat="1">
      <c r="A2448" s="86"/>
    </row>
    <row r="2449" spans="1:1" s="126" customFormat="1">
      <c r="A2449" s="86"/>
    </row>
    <row r="2450" spans="1:1" s="126" customFormat="1">
      <c r="A2450" s="86"/>
    </row>
    <row r="2451" spans="1:1" s="126" customFormat="1">
      <c r="A2451" s="86"/>
    </row>
    <row r="2452" spans="1:1" s="126" customFormat="1">
      <c r="A2452" s="86"/>
    </row>
    <row r="2453" spans="1:1" s="126" customFormat="1">
      <c r="A2453" s="86"/>
    </row>
    <row r="2454" spans="1:1" s="126" customFormat="1">
      <c r="A2454" s="86"/>
    </row>
    <row r="2455" spans="1:1" s="126" customFormat="1">
      <c r="A2455" s="86"/>
    </row>
    <row r="2456" spans="1:1" s="126" customFormat="1">
      <c r="A2456" s="86"/>
    </row>
    <row r="2457" spans="1:1" s="126" customFormat="1">
      <c r="A2457" s="86"/>
    </row>
    <row r="2458" spans="1:1" s="126" customFormat="1">
      <c r="A2458" s="86"/>
    </row>
    <row r="2459" spans="1:1" s="126" customFormat="1">
      <c r="A2459" s="86"/>
    </row>
    <row r="2460" spans="1:1" s="126" customFormat="1">
      <c r="A2460" s="86"/>
    </row>
    <row r="2461" spans="1:1" s="126" customFormat="1">
      <c r="A2461" s="86"/>
    </row>
    <row r="2462" spans="1:1" s="126" customFormat="1">
      <c r="A2462" s="86"/>
    </row>
    <row r="2463" spans="1:1" s="126" customFormat="1">
      <c r="A2463" s="86"/>
    </row>
    <row r="2464" spans="1:1" s="126" customFormat="1">
      <c r="A2464" s="86"/>
    </row>
    <row r="2465" spans="1:1" s="126" customFormat="1">
      <c r="A2465" s="86"/>
    </row>
    <row r="2466" spans="1:1" s="126" customFormat="1">
      <c r="A2466" s="86"/>
    </row>
    <row r="2467" spans="1:1" s="126" customFormat="1">
      <c r="A2467" s="86"/>
    </row>
    <row r="2468" spans="1:1" s="126" customFormat="1">
      <c r="A2468" s="86"/>
    </row>
    <row r="2469" spans="1:1" s="126" customFormat="1">
      <c r="A2469" s="86"/>
    </row>
    <row r="2470" spans="1:1" s="126" customFormat="1">
      <c r="A2470" s="86"/>
    </row>
    <row r="2471" spans="1:1" s="126" customFormat="1">
      <c r="A2471" s="86"/>
    </row>
    <row r="2472" spans="1:1" s="126" customFormat="1">
      <c r="A2472" s="86"/>
    </row>
    <row r="2473" spans="1:1" s="126" customFormat="1">
      <c r="A2473" s="86"/>
    </row>
    <row r="2474" spans="1:1" s="126" customFormat="1">
      <c r="A2474" s="86"/>
    </row>
    <row r="2475" spans="1:1" s="126" customFormat="1">
      <c r="A2475" s="86"/>
    </row>
    <row r="2476" spans="1:1" s="126" customFormat="1">
      <c r="A2476" s="86"/>
    </row>
    <row r="2477" spans="1:1" s="126" customFormat="1">
      <c r="A2477" s="86"/>
    </row>
    <row r="2478" spans="1:1" s="126" customFormat="1">
      <c r="A2478" s="86"/>
    </row>
    <row r="2479" spans="1:1" s="126" customFormat="1">
      <c r="A2479" s="86"/>
    </row>
    <row r="2480" spans="1:1" s="126" customFormat="1">
      <c r="A2480" s="86"/>
    </row>
    <row r="2481" spans="1:1" s="126" customFormat="1">
      <c r="A2481" s="86"/>
    </row>
    <row r="2482" spans="1:1" s="126" customFormat="1">
      <c r="A2482" s="86"/>
    </row>
    <row r="2483" spans="1:1" s="126" customFormat="1">
      <c r="A2483" s="86"/>
    </row>
    <row r="2484" spans="1:1" s="126" customFormat="1">
      <c r="A2484" s="86"/>
    </row>
    <row r="2485" spans="1:1" s="126" customFormat="1">
      <c r="A2485" s="86"/>
    </row>
    <row r="2486" spans="1:1" s="126" customFormat="1">
      <c r="A2486" s="86"/>
    </row>
    <row r="2487" spans="1:1" s="126" customFormat="1">
      <c r="A2487" s="86"/>
    </row>
    <row r="2488" spans="1:1" s="126" customFormat="1">
      <c r="A2488" s="86"/>
    </row>
    <row r="2489" spans="1:1" s="126" customFormat="1">
      <c r="A2489" s="86"/>
    </row>
    <row r="2490" spans="1:1" s="126" customFormat="1">
      <c r="A2490" s="86"/>
    </row>
    <row r="2491" spans="1:1" s="126" customFormat="1">
      <c r="A2491" s="86"/>
    </row>
    <row r="2492" spans="1:1" s="126" customFormat="1">
      <c r="A2492" s="86"/>
    </row>
    <row r="2493" spans="1:1" s="126" customFormat="1">
      <c r="A2493" s="86"/>
    </row>
    <row r="2494" spans="1:1" s="126" customFormat="1">
      <c r="A2494" s="86"/>
    </row>
    <row r="2495" spans="1:1" s="126" customFormat="1">
      <c r="A2495" s="86"/>
    </row>
    <row r="2496" spans="1:1" s="126" customFormat="1">
      <c r="A2496" s="86"/>
    </row>
    <row r="2497" spans="1:1" s="126" customFormat="1">
      <c r="A2497" s="86"/>
    </row>
    <row r="2498" spans="1:1" s="126" customFormat="1">
      <c r="A2498" s="86"/>
    </row>
    <row r="2499" spans="1:1" s="126" customFormat="1">
      <c r="A2499" s="86"/>
    </row>
    <row r="2500" spans="1:1" s="126" customFormat="1">
      <c r="A2500" s="86"/>
    </row>
    <row r="2501" spans="1:1" s="126" customFormat="1">
      <c r="A2501" s="86"/>
    </row>
    <row r="2502" spans="1:1" s="126" customFormat="1">
      <c r="A2502" s="86"/>
    </row>
    <row r="2503" spans="1:1" s="126" customFormat="1">
      <c r="A2503" s="86"/>
    </row>
    <row r="2504" spans="1:1" s="126" customFormat="1">
      <c r="A2504" s="86"/>
    </row>
    <row r="2505" spans="1:1" s="126" customFormat="1">
      <c r="A2505" s="86"/>
    </row>
    <row r="2506" spans="1:1" s="126" customFormat="1">
      <c r="A2506" s="86"/>
    </row>
    <row r="2507" spans="1:1" s="126" customFormat="1">
      <c r="A2507" s="86"/>
    </row>
    <row r="2508" spans="1:1" s="126" customFormat="1">
      <c r="A2508" s="86"/>
    </row>
    <row r="2509" spans="1:1" s="126" customFormat="1">
      <c r="A2509" s="86"/>
    </row>
    <row r="2510" spans="1:1" s="126" customFormat="1">
      <c r="A2510" s="86"/>
    </row>
    <row r="2511" spans="1:1" s="126" customFormat="1">
      <c r="A2511" s="86"/>
    </row>
    <row r="2512" spans="1:1" s="126" customFormat="1">
      <c r="A2512" s="86"/>
    </row>
    <row r="2513" spans="1:1" s="126" customFormat="1">
      <c r="A2513" s="86"/>
    </row>
    <row r="2514" spans="1:1" s="126" customFormat="1">
      <c r="A2514" s="86"/>
    </row>
    <row r="2515" spans="1:1" s="126" customFormat="1">
      <c r="A2515" s="86"/>
    </row>
    <row r="2516" spans="1:1" s="126" customFormat="1">
      <c r="A2516" s="86"/>
    </row>
    <row r="2517" spans="1:1" s="126" customFormat="1">
      <c r="A2517" s="86"/>
    </row>
    <row r="2518" spans="1:1" s="126" customFormat="1">
      <c r="A2518" s="86"/>
    </row>
    <row r="2519" spans="1:1" s="126" customFormat="1">
      <c r="A2519" s="86"/>
    </row>
    <row r="2520" spans="1:1" s="126" customFormat="1">
      <c r="A2520" s="86"/>
    </row>
    <row r="2521" spans="1:1" s="126" customFormat="1">
      <c r="A2521" s="86"/>
    </row>
    <row r="2522" spans="1:1" s="126" customFormat="1">
      <c r="A2522" s="86"/>
    </row>
    <row r="2523" spans="1:1" s="126" customFormat="1">
      <c r="A2523" s="86"/>
    </row>
    <row r="2524" spans="1:1" s="126" customFormat="1">
      <c r="A2524" s="86"/>
    </row>
    <row r="2525" spans="1:1" s="126" customFormat="1">
      <c r="A2525" s="86"/>
    </row>
    <row r="2526" spans="1:1" s="126" customFormat="1">
      <c r="A2526" s="86"/>
    </row>
    <row r="2527" spans="1:1" s="126" customFormat="1">
      <c r="A2527" s="86"/>
    </row>
    <row r="2528" spans="1:1" s="126" customFormat="1">
      <c r="A2528" s="86"/>
    </row>
    <row r="2529" spans="1:1" s="126" customFormat="1">
      <c r="A2529" s="86"/>
    </row>
    <row r="2530" spans="1:1" s="126" customFormat="1">
      <c r="A2530" s="86"/>
    </row>
    <row r="2531" spans="1:1" s="126" customFormat="1">
      <c r="A2531" s="86"/>
    </row>
    <row r="2532" spans="1:1" s="126" customFormat="1">
      <c r="A2532" s="86"/>
    </row>
    <row r="2533" spans="1:1" s="126" customFormat="1">
      <c r="A2533" s="86"/>
    </row>
    <row r="2534" spans="1:1" s="126" customFormat="1">
      <c r="A2534" s="86"/>
    </row>
    <row r="2535" spans="1:1" s="126" customFormat="1">
      <c r="A2535" s="86"/>
    </row>
    <row r="2536" spans="1:1" s="126" customFormat="1">
      <c r="A2536" s="86"/>
    </row>
    <row r="2537" spans="1:1" s="126" customFormat="1">
      <c r="A2537" s="86"/>
    </row>
    <row r="2538" spans="1:1" s="126" customFormat="1">
      <c r="A2538" s="86"/>
    </row>
    <row r="2539" spans="1:1" s="126" customFormat="1">
      <c r="A2539" s="86"/>
    </row>
    <row r="2540" spans="1:1" s="126" customFormat="1">
      <c r="A2540" s="86"/>
    </row>
    <row r="2541" spans="1:1" s="126" customFormat="1">
      <c r="A2541" s="86"/>
    </row>
    <row r="2542" spans="1:1" s="126" customFormat="1">
      <c r="A2542" s="86"/>
    </row>
    <row r="2543" spans="1:1" s="126" customFormat="1">
      <c r="A2543" s="86"/>
    </row>
    <row r="2544" spans="1:1" s="126" customFormat="1">
      <c r="A2544" s="86"/>
    </row>
    <row r="2545" spans="1:1" s="126" customFormat="1">
      <c r="A2545" s="86"/>
    </row>
    <row r="2546" spans="1:1" s="126" customFormat="1">
      <c r="A2546" s="86"/>
    </row>
    <row r="2547" spans="1:1" s="126" customFormat="1">
      <c r="A2547" s="86"/>
    </row>
    <row r="2548" spans="1:1" s="126" customFormat="1">
      <c r="A2548" s="86"/>
    </row>
    <row r="2549" spans="1:1" s="126" customFormat="1">
      <c r="A2549" s="86"/>
    </row>
    <row r="2550" spans="1:1" s="126" customFormat="1">
      <c r="A2550" s="86"/>
    </row>
    <row r="2551" spans="1:1" s="126" customFormat="1">
      <c r="A2551" s="86"/>
    </row>
    <row r="2552" spans="1:1" s="126" customFormat="1">
      <c r="A2552" s="86"/>
    </row>
    <row r="2553" spans="1:1" s="126" customFormat="1">
      <c r="A2553" s="86"/>
    </row>
    <row r="2554" spans="1:1" s="126" customFormat="1">
      <c r="A2554" s="86"/>
    </row>
    <row r="2555" spans="1:1" s="126" customFormat="1">
      <c r="A2555" s="86"/>
    </row>
    <row r="2556" spans="1:1" s="126" customFormat="1">
      <c r="A2556" s="86"/>
    </row>
    <row r="2557" spans="1:1" s="126" customFormat="1">
      <c r="A2557" s="86"/>
    </row>
    <row r="2558" spans="1:1" s="126" customFormat="1">
      <c r="A2558" s="86"/>
    </row>
    <row r="2559" spans="1:1" s="126" customFormat="1">
      <c r="A2559" s="86"/>
    </row>
    <row r="2560" spans="1:1" s="126" customFormat="1">
      <c r="A2560" s="86"/>
    </row>
    <row r="2561" spans="1:1" s="126" customFormat="1">
      <c r="A2561" s="86"/>
    </row>
    <row r="2562" spans="1:1" s="126" customFormat="1">
      <c r="A2562" s="86"/>
    </row>
    <row r="2563" spans="1:1" s="126" customFormat="1">
      <c r="A2563" s="86"/>
    </row>
    <row r="2564" spans="1:1" s="126" customFormat="1">
      <c r="A2564" s="86"/>
    </row>
    <row r="2565" spans="1:1" s="126" customFormat="1">
      <c r="A2565" s="86"/>
    </row>
    <row r="2566" spans="1:1" s="126" customFormat="1">
      <c r="A2566" s="86"/>
    </row>
    <row r="2567" spans="1:1" s="126" customFormat="1">
      <c r="A2567" s="86"/>
    </row>
    <row r="2568" spans="1:1" s="126" customFormat="1">
      <c r="A2568" s="86"/>
    </row>
    <row r="2569" spans="1:1" s="126" customFormat="1">
      <c r="A2569" s="86"/>
    </row>
    <row r="2570" spans="1:1" s="126" customFormat="1">
      <c r="A2570" s="86"/>
    </row>
    <row r="2571" spans="1:1" s="126" customFormat="1">
      <c r="A2571" s="86"/>
    </row>
    <row r="2572" spans="1:1" s="126" customFormat="1">
      <c r="A2572" s="86"/>
    </row>
    <row r="2573" spans="1:1" s="126" customFormat="1">
      <c r="A2573" s="86"/>
    </row>
    <row r="2574" spans="1:1" s="126" customFormat="1">
      <c r="A2574" s="86"/>
    </row>
    <row r="2575" spans="1:1" s="126" customFormat="1">
      <c r="A2575" s="86"/>
    </row>
    <row r="2576" spans="1:1" s="126" customFormat="1">
      <c r="A2576" s="86"/>
    </row>
    <row r="2577" spans="1:1" s="126" customFormat="1">
      <c r="A2577" s="86"/>
    </row>
    <row r="2578" spans="1:1" s="126" customFormat="1">
      <c r="A2578" s="86"/>
    </row>
    <row r="2579" spans="1:1" s="126" customFormat="1">
      <c r="A2579" s="86"/>
    </row>
    <row r="2580" spans="1:1" s="126" customFormat="1">
      <c r="A2580" s="86"/>
    </row>
    <row r="2581" spans="1:1" s="126" customFormat="1">
      <c r="A2581" s="86"/>
    </row>
    <row r="2582" spans="1:1" s="126" customFormat="1">
      <c r="A2582" s="86"/>
    </row>
    <row r="2583" spans="1:1" s="126" customFormat="1">
      <c r="A2583" s="86"/>
    </row>
    <row r="2584" spans="1:1" s="126" customFormat="1">
      <c r="A2584" s="86"/>
    </row>
    <row r="2585" spans="1:1" s="126" customFormat="1">
      <c r="A2585" s="86"/>
    </row>
    <row r="2586" spans="1:1" s="126" customFormat="1">
      <c r="A2586" s="86"/>
    </row>
    <row r="2587" spans="1:1" s="126" customFormat="1">
      <c r="A2587" s="86"/>
    </row>
    <row r="2588" spans="1:1" s="126" customFormat="1">
      <c r="A2588" s="86"/>
    </row>
    <row r="2589" spans="1:1" s="126" customFormat="1">
      <c r="A2589" s="86"/>
    </row>
    <row r="2590" spans="1:1" s="126" customFormat="1">
      <c r="A2590" s="86"/>
    </row>
    <row r="2591" spans="1:1" s="126" customFormat="1">
      <c r="A2591" s="86"/>
    </row>
    <row r="2592" spans="1:1" s="126" customFormat="1">
      <c r="A2592" s="86"/>
    </row>
    <row r="2593" spans="1:1" s="126" customFormat="1">
      <c r="A2593" s="86"/>
    </row>
    <row r="2594" spans="1:1" s="126" customFormat="1">
      <c r="A2594" s="86"/>
    </row>
    <row r="2595" spans="1:1" s="126" customFormat="1">
      <c r="A2595" s="86"/>
    </row>
    <row r="2596" spans="1:1" s="126" customFormat="1">
      <c r="A2596" s="86"/>
    </row>
    <row r="2597" spans="1:1" s="126" customFormat="1">
      <c r="A2597" s="86"/>
    </row>
    <row r="2598" spans="1:1" s="126" customFormat="1">
      <c r="A2598" s="86"/>
    </row>
    <row r="2599" spans="1:1" s="126" customFormat="1">
      <c r="A2599" s="86"/>
    </row>
    <row r="2600" spans="1:1" s="126" customFormat="1">
      <c r="A2600" s="86"/>
    </row>
    <row r="2601" spans="1:1" s="126" customFormat="1">
      <c r="A2601" s="86"/>
    </row>
    <row r="2602" spans="1:1" s="126" customFormat="1">
      <c r="A2602" s="86"/>
    </row>
    <row r="2603" spans="1:1" s="126" customFormat="1">
      <c r="A2603" s="86"/>
    </row>
    <row r="2604" spans="1:1" s="126" customFormat="1">
      <c r="A2604" s="86"/>
    </row>
    <row r="2605" spans="1:1" s="126" customFormat="1">
      <c r="A2605" s="86"/>
    </row>
    <row r="2606" spans="1:1" s="126" customFormat="1">
      <c r="A2606" s="86"/>
    </row>
    <row r="2607" spans="1:1" s="126" customFormat="1">
      <c r="A2607" s="86"/>
    </row>
    <row r="2608" spans="1:1" s="126" customFormat="1">
      <c r="A2608" s="86"/>
    </row>
    <row r="2609" spans="1:1" s="126" customFormat="1">
      <c r="A2609" s="86"/>
    </row>
    <row r="2610" spans="1:1" s="126" customFormat="1">
      <c r="A2610" s="86"/>
    </row>
    <row r="2611" spans="1:1" s="126" customFormat="1">
      <c r="A2611" s="86"/>
    </row>
    <row r="2612" spans="1:1" s="126" customFormat="1">
      <c r="A2612" s="86"/>
    </row>
    <row r="2613" spans="1:1" s="126" customFormat="1">
      <c r="A2613" s="86"/>
    </row>
    <row r="2614" spans="1:1" s="126" customFormat="1">
      <c r="A2614" s="86"/>
    </row>
    <row r="2615" spans="1:1" s="126" customFormat="1">
      <c r="A2615" s="86"/>
    </row>
    <row r="2616" spans="1:1" s="126" customFormat="1">
      <c r="A2616" s="86"/>
    </row>
    <row r="2617" spans="1:1" s="126" customFormat="1">
      <c r="A2617" s="86"/>
    </row>
    <row r="2618" spans="1:1" s="126" customFormat="1">
      <c r="A2618" s="86"/>
    </row>
    <row r="2619" spans="1:1" s="126" customFormat="1">
      <c r="A2619" s="86"/>
    </row>
    <row r="2620" spans="1:1" s="126" customFormat="1">
      <c r="A2620" s="86"/>
    </row>
    <row r="2621" spans="1:1" s="126" customFormat="1">
      <c r="A2621" s="86"/>
    </row>
    <row r="2622" spans="1:1" s="126" customFormat="1">
      <c r="A2622" s="86"/>
    </row>
    <row r="2623" spans="1:1" s="126" customFormat="1">
      <c r="A2623" s="86"/>
    </row>
    <row r="2624" spans="1:1" s="126" customFormat="1">
      <c r="A2624" s="86"/>
    </row>
    <row r="2625" spans="1:1" s="126" customFormat="1">
      <c r="A2625" s="86"/>
    </row>
    <row r="2626" spans="1:1" s="126" customFormat="1">
      <c r="A2626" s="86"/>
    </row>
    <row r="2627" spans="1:1" s="126" customFormat="1">
      <c r="A2627" s="86"/>
    </row>
    <row r="2628" spans="1:1" s="126" customFormat="1">
      <c r="A2628" s="86"/>
    </row>
    <row r="2629" spans="1:1" s="126" customFormat="1">
      <c r="A2629" s="86"/>
    </row>
    <row r="2630" spans="1:1" s="126" customFormat="1">
      <c r="A2630" s="86"/>
    </row>
    <row r="2631" spans="1:1" s="126" customFormat="1">
      <c r="A2631" s="86"/>
    </row>
    <row r="2632" spans="1:1" s="126" customFormat="1">
      <c r="A2632" s="86"/>
    </row>
    <row r="2633" spans="1:1" s="126" customFormat="1">
      <c r="A2633" s="86"/>
    </row>
    <row r="2634" spans="1:1" s="126" customFormat="1">
      <c r="A2634" s="86"/>
    </row>
    <row r="2635" spans="1:1" s="126" customFormat="1">
      <c r="A2635" s="86"/>
    </row>
    <row r="2636" spans="1:1" s="126" customFormat="1">
      <c r="A2636" s="86"/>
    </row>
    <row r="2637" spans="1:1" s="126" customFormat="1">
      <c r="A2637" s="86"/>
    </row>
    <row r="2638" spans="1:1" s="126" customFormat="1">
      <c r="A2638" s="86"/>
    </row>
    <row r="2639" spans="1:1" s="126" customFormat="1">
      <c r="A2639" s="86"/>
    </row>
    <row r="2640" spans="1:1" s="126" customFormat="1">
      <c r="A2640" s="86"/>
    </row>
    <row r="2641" spans="1:1" s="126" customFormat="1">
      <c r="A2641" s="86"/>
    </row>
    <row r="2642" spans="1:1" s="126" customFormat="1">
      <c r="A2642" s="86"/>
    </row>
    <row r="2643" spans="1:1" s="126" customFormat="1">
      <c r="A2643" s="86"/>
    </row>
    <row r="2644" spans="1:1" s="126" customFormat="1">
      <c r="A2644" s="86"/>
    </row>
    <row r="2645" spans="1:1" s="126" customFormat="1">
      <c r="A2645" s="86"/>
    </row>
    <row r="2646" spans="1:1" s="126" customFormat="1">
      <c r="A2646" s="86"/>
    </row>
    <row r="2647" spans="1:1" s="126" customFormat="1">
      <c r="A2647" s="86"/>
    </row>
    <row r="2648" spans="1:1" s="126" customFormat="1">
      <c r="A2648" s="86"/>
    </row>
    <row r="2649" spans="1:1" s="126" customFormat="1">
      <c r="A2649" s="86"/>
    </row>
    <row r="2650" spans="1:1" s="126" customFormat="1">
      <c r="A2650" s="86"/>
    </row>
    <row r="2651" spans="1:1" s="126" customFormat="1">
      <c r="A2651" s="86"/>
    </row>
    <row r="2652" spans="1:1" s="126" customFormat="1">
      <c r="A2652" s="86"/>
    </row>
    <row r="2653" spans="1:1" s="126" customFormat="1">
      <c r="A2653" s="86"/>
    </row>
    <row r="2654" spans="1:1" s="126" customFormat="1">
      <c r="A2654" s="86"/>
    </row>
    <row r="2655" spans="1:1" s="126" customFormat="1">
      <c r="A2655" s="86"/>
    </row>
    <row r="2656" spans="1:1" s="126" customFormat="1">
      <c r="A2656" s="86"/>
    </row>
    <row r="2657" spans="1:1" s="126" customFormat="1">
      <c r="A2657" s="86"/>
    </row>
    <row r="2658" spans="1:1" s="126" customFormat="1">
      <c r="A2658" s="86"/>
    </row>
    <row r="2659" spans="1:1" s="126" customFormat="1">
      <c r="A2659" s="86"/>
    </row>
    <row r="2660" spans="1:1" s="126" customFormat="1">
      <c r="A2660" s="86"/>
    </row>
    <row r="2661" spans="1:1" s="126" customFormat="1">
      <c r="A2661" s="86"/>
    </row>
    <row r="2662" spans="1:1" s="126" customFormat="1">
      <c r="A2662" s="86"/>
    </row>
    <row r="2663" spans="1:1" s="126" customFormat="1">
      <c r="A2663" s="86"/>
    </row>
    <row r="2664" spans="1:1" s="126" customFormat="1">
      <c r="A2664" s="86"/>
    </row>
    <row r="2665" spans="1:1" s="126" customFormat="1">
      <c r="A2665" s="86"/>
    </row>
    <row r="2666" spans="1:1" s="126" customFormat="1">
      <c r="A2666" s="86"/>
    </row>
    <row r="2667" spans="1:1" s="126" customFormat="1">
      <c r="A2667" s="86"/>
    </row>
    <row r="2668" spans="1:1" s="126" customFormat="1">
      <c r="A2668" s="86"/>
    </row>
    <row r="2669" spans="1:1" s="126" customFormat="1">
      <c r="A2669" s="86"/>
    </row>
    <row r="2670" spans="1:1" s="126" customFormat="1">
      <c r="A2670" s="86"/>
    </row>
    <row r="2671" spans="1:1" s="126" customFormat="1">
      <c r="A2671" s="86"/>
    </row>
    <row r="2672" spans="1:1" s="126" customFormat="1">
      <c r="A2672" s="86"/>
    </row>
    <row r="2673" spans="1:1" s="126" customFormat="1">
      <c r="A2673" s="86"/>
    </row>
    <row r="2674" spans="1:1" s="126" customFormat="1">
      <c r="A2674" s="86"/>
    </row>
    <row r="2675" spans="1:1" s="126" customFormat="1">
      <c r="A2675" s="86"/>
    </row>
    <row r="2676" spans="1:1" s="126" customFormat="1">
      <c r="A2676" s="86"/>
    </row>
    <row r="2677" spans="1:1" s="126" customFormat="1">
      <c r="A2677" s="86"/>
    </row>
    <row r="2678" spans="1:1" s="126" customFormat="1">
      <c r="A2678" s="86"/>
    </row>
    <row r="2679" spans="1:1" s="126" customFormat="1">
      <c r="A2679" s="86"/>
    </row>
    <row r="2680" spans="1:1" s="126" customFormat="1">
      <c r="A2680" s="86"/>
    </row>
    <row r="2681" spans="1:1" s="126" customFormat="1">
      <c r="A2681" s="86"/>
    </row>
    <row r="2682" spans="1:1" s="126" customFormat="1">
      <c r="A2682" s="86"/>
    </row>
    <row r="2683" spans="1:1" s="126" customFormat="1">
      <c r="A2683" s="86"/>
    </row>
    <row r="2684" spans="1:1" s="126" customFormat="1">
      <c r="A2684" s="86"/>
    </row>
    <row r="2685" spans="1:1" s="126" customFormat="1">
      <c r="A2685" s="86"/>
    </row>
    <row r="2686" spans="1:1" s="126" customFormat="1">
      <c r="A2686" s="86"/>
    </row>
    <row r="2687" spans="1:1" s="126" customFormat="1">
      <c r="A2687" s="86"/>
    </row>
    <row r="2688" spans="1:1" s="126" customFormat="1">
      <c r="A2688" s="86"/>
    </row>
    <row r="2689" spans="1:1" s="126" customFormat="1">
      <c r="A2689" s="86"/>
    </row>
    <row r="2690" spans="1:1" s="126" customFormat="1">
      <c r="A2690" s="86"/>
    </row>
    <row r="2691" spans="1:1" s="126" customFormat="1">
      <c r="A2691" s="86"/>
    </row>
    <row r="2692" spans="1:1" s="126" customFormat="1">
      <c r="A2692" s="86"/>
    </row>
    <row r="2693" spans="1:1" s="126" customFormat="1">
      <c r="A2693" s="86"/>
    </row>
    <row r="2694" spans="1:1" s="126" customFormat="1">
      <c r="A2694" s="86"/>
    </row>
    <row r="2695" spans="1:1" s="126" customFormat="1">
      <c r="A2695" s="86"/>
    </row>
    <row r="2696" spans="1:1" s="126" customFormat="1">
      <c r="A2696" s="86"/>
    </row>
    <row r="2697" spans="1:1" s="126" customFormat="1">
      <c r="A2697" s="86"/>
    </row>
    <row r="2698" spans="1:1" s="126" customFormat="1">
      <c r="A2698" s="86"/>
    </row>
    <row r="2699" spans="1:1" s="126" customFormat="1">
      <c r="A2699" s="86"/>
    </row>
    <row r="2700" spans="1:1" s="126" customFormat="1">
      <c r="A2700" s="86"/>
    </row>
    <row r="2701" spans="1:1" s="126" customFormat="1">
      <c r="A2701" s="86"/>
    </row>
    <row r="2702" spans="1:1" s="126" customFormat="1">
      <c r="A2702" s="86"/>
    </row>
    <row r="2703" spans="1:1" s="126" customFormat="1">
      <c r="A2703" s="86"/>
    </row>
    <row r="2704" spans="1:1" s="126" customFormat="1">
      <c r="A2704" s="86"/>
    </row>
    <row r="2705" spans="1:1" s="126" customFormat="1">
      <c r="A2705" s="86"/>
    </row>
    <row r="2706" spans="1:1" s="126" customFormat="1">
      <c r="A2706" s="86"/>
    </row>
    <row r="2707" spans="1:1" s="126" customFormat="1">
      <c r="A2707" s="86"/>
    </row>
    <row r="2708" spans="1:1" s="126" customFormat="1">
      <c r="A2708" s="86"/>
    </row>
    <row r="2709" spans="1:1" s="126" customFormat="1">
      <c r="A2709" s="86"/>
    </row>
    <row r="2710" spans="1:1" s="126" customFormat="1">
      <c r="A2710" s="86"/>
    </row>
    <row r="2711" spans="1:1" s="126" customFormat="1">
      <c r="A2711" s="86"/>
    </row>
    <row r="2712" spans="1:1" s="126" customFormat="1">
      <c r="A2712" s="86"/>
    </row>
    <row r="2713" spans="1:1" s="126" customFormat="1">
      <c r="A2713" s="86"/>
    </row>
    <row r="2714" spans="1:1" s="126" customFormat="1">
      <c r="A2714" s="86"/>
    </row>
    <row r="2715" spans="1:1" s="126" customFormat="1">
      <c r="A2715" s="86"/>
    </row>
    <row r="2716" spans="1:1" s="126" customFormat="1">
      <c r="A2716" s="86"/>
    </row>
    <row r="2717" spans="1:1" s="126" customFormat="1">
      <c r="A2717" s="86"/>
    </row>
    <row r="2718" spans="1:1" s="126" customFormat="1">
      <c r="A2718" s="86"/>
    </row>
    <row r="2719" spans="1:1" s="126" customFormat="1">
      <c r="A2719" s="86"/>
    </row>
    <row r="2720" spans="1:1" s="126" customFormat="1">
      <c r="A2720" s="86"/>
    </row>
    <row r="2721" spans="1:1" s="126" customFormat="1">
      <c r="A2721" s="86"/>
    </row>
    <row r="2722" spans="1:1" s="126" customFormat="1">
      <c r="A2722" s="86"/>
    </row>
    <row r="2723" spans="1:1" s="126" customFormat="1">
      <c r="A2723" s="86"/>
    </row>
    <row r="2724" spans="1:1" s="126" customFormat="1">
      <c r="A2724" s="86"/>
    </row>
    <row r="2725" spans="1:1" s="126" customFormat="1">
      <c r="A2725" s="86"/>
    </row>
    <row r="2726" spans="1:1" s="126" customFormat="1">
      <c r="A2726" s="86"/>
    </row>
    <row r="2727" spans="1:1" s="126" customFormat="1">
      <c r="A2727" s="86"/>
    </row>
    <row r="2728" spans="1:1" s="126" customFormat="1">
      <c r="A2728" s="86"/>
    </row>
    <row r="2729" spans="1:1" s="126" customFormat="1">
      <c r="A2729" s="86"/>
    </row>
    <row r="2730" spans="1:1" s="126" customFormat="1">
      <c r="A2730" s="86"/>
    </row>
    <row r="2731" spans="1:1" s="126" customFormat="1">
      <c r="A2731" s="86"/>
    </row>
    <row r="2732" spans="1:1" s="126" customFormat="1">
      <c r="A2732" s="86"/>
    </row>
    <row r="2733" spans="1:1" s="126" customFormat="1">
      <c r="A2733" s="86"/>
    </row>
    <row r="2734" spans="1:1" s="126" customFormat="1">
      <c r="A2734" s="86"/>
    </row>
    <row r="2735" spans="1:1" s="126" customFormat="1">
      <c r="A2735" s="86"/>
    </row>
    <row r="2736" spans="1:1" s="126" customFormat="1">
      <c r="A2736" s="86"/>
    </row>
    <row r="2737" spans="1:1" s="126" customFormat="1">
      <c r="A2737" s="86"/>
    </row>
    <row r="2738" spans="1:1" s="126" customFormat="1">
      <c r="A2738" s="86"/>
    </row>
    <row r="2739" spans="1:1" s="126" customFormat="1">
      <c r="A2739" s="86"/>
    </row>
    <row r="2740" spans="1:1" s="126" customFormat="1">
      <c r="A2740" s="86"/>
    </row>
    <row r="2741" spans="1:1" s="126" customFormat="1">
      <c r="A2741" s="86"/>
    </row>
    <row r="2742" spans="1:1" s="126" customFormat="1">
      <c r="A2742" s="86"/>
    </row>
    <row r="2743" spans="1:1" s="126" customFormat="1">
      <c r="A2743" s="86"/>
    </row>
    <row r="2744" spans="1:1" s="126" customFormat="1">
      <c r="A2744" s="86"/>
    </row>
    <row r="2745" spans="1:1" s="126" customFormat="1">
      <c r="A2745" s="86"/>
    </row>
    <row r="2746" spans="1:1" s="126" customFormat="1">
      <c r="A2746" s="86"/>
    </row>
    <row r="2747" spans="1:1" s="126" customFormat="1">
      <c r="A2747" s="86"/>
    </row>
    <row r="2748" spans="1:1" s="126" customFormat="1">
      <c r="A2748" s="86"/>
    </row>
    <row r="2749" spans="1:1" s="126" customFormat="1">
      <c r="A2749" s="86"/>
    </row>
    <row r="2750" spans="1:1" s="126" customFormat="1">
      <c r="A2750" s="86"/>
    </row>
    <row r="2751" spans="1:1" s="126" customFormat="1">
      <c r="A2751" s="86"/>
    </row>
    <row r="2752" spans="1:1" s="126" customFormat="1">
      <c r="A2752" s="86"/>
    </row>
    <row r="2753" spans="1:1" s="126" customFormat="1">
      <c r="A2753" s="86"/>
    </row>
    <row r="2754" spans="1:1" s="126" customFormat="1">
      <c r="A2754" s="86"/>
    </row>
    <row r="2755" spans="1:1" s="126" customFormat="1">
      <c r="A2755" s="86"/>
    </row>
    <row r="2756" spans="1:1" s="126" customFormat="1">
      <c r="A2756" s="86"/>
    </row>
    <row r="2757" spans="1:1" s="126" customFormat="1">
      <c r="A2757" s="86"/>
    </row>
    <row r="2758" spans="1:1" s="126" customFormat="1">
      <c r="A2758" s="86"/>
    </row>
    <row r="2759" spans="1:1" s="126" customFormat="1">
      <c r="A2759" s="86"/>
    </row>
    <row r="2760" spans="1:1" s="126" customFormat="1">
      <c r="A2760" s="86"/>
    </row>
    <row r="2761" spans="1:1" s="126" customFormat="1">
      <c r="A2761" s="86"/>
    </row>
    <row r="2762" spans="1:1" s="126" customFormat="1">
      <c r="A2762" s="86"/>
    </row>
    <row r="2763" spans="1:1" s="126" customFormat="1">
      <c r="A2763" s="86"/>
    </row>
    <row r="2764" spans="1:1" s="126" customFormat="1">
      <c r="A2764" s="86"/>
    </row>
    <row r="2765" spans="1:1" s="126" customFormat="1">
      <c r="A2765" s="86"/>
    </row>
    <row r="2766" spans="1:1" s="126" customFormat="1">
      <c r="A2766" s="86"/>
    </row>
    <row r="2767" spans="1:1" s="126" customFormat="1">
      <c r="A2767" s="86"/>
    </row>
    <row r="2768" spans="1:1" s="126" customFormat="1">
      <c r="A2768" s="86"/>
    </row>
    <row r="2769" spans="1:1" s="126" customFormat="1">
      <c r="A2769" s="86"/>
    </row>
    <row r="2770" spans="1:1" s="126" customFormat="1">
      <c r="A2770" s="86"/>
    </row>
    <row r="2771" spans="1:1" s="126" customFormat="1">
      <c r="A2771" s="86"/>
    </row>
    <row r="2772" spans="1:1" s="126" customFormat="1">
      <c r="A2772" s="86"/>
    </row>
    <row r="2773" spans="1:1" s="126" customFormat="1">
      <c r="A2773" s="86"/>
    </row>
    <row r="2774" spans="1:1" s="126" customFormat="1">
      <c r="A2774" s="86"/>
    </row>
    <row r="2775" spans="1:1" s="126" customFormat="1">
      <c r="A2775" s="86"/>
    </row>
    <row r="2776" spans="1:1" s="126" customFormat="1">
      <c r="A2776" s="86"/>
    </row>
    <row r="2777" spans="1:1" s="126" customFormat="1">
      <c r="A2777" s="86"/>
    </row>
    <row r="2778" spans="1:1" s="126" customFormat="1">
      <c r="A2778" s="86"/>
    </row>
    <row r="2779" spans="1:1" s="126" customFormat="1">
      <c r="A2779" s="86"/>
    </row>
    <row r="2780" spans="1:1" s="126" customFormat="1">
      <c r="A2780" s="86"/>
    </row>
    <row r="2781" spans="1:1" s="126" customFormat="1">
      <c r="A2781" s="86"/>
    </row>
    <row r="2782" spans="1:1" s="126" customFormat="1">
      <c r="A2782" s="86"/>
    </row>
    <row r="2783" spans="1:1" s="126" customFormat="1">
      <c r="A2783" s="86"/>
    </row>
    <row r="2784" spans="1:1" s="126" customFormat="1">
      <c r="A2784" s="86"/>
    </row>
    <row r="2785" spans="1:1" s="126" customFormat="1">
      <c r="A2785" s="86"/>
    </row>
    <row r="2786" spans="1:1" s="126" customFormat="1">
      <c r="A2786" s="86"/>
    </row>
    <row r="2787" spans="1:1" s="126" customFormat="1">
      <c r="A2787" s="86"/>
    </row>
    <row r="2788" spans="1:1" s="126" customFormat="1">
      <c r="A2788" s="86"/>
    </row>
    <row r="2789" spans="1:1" s="126" customFormat="1">
      <c r="A2789" s="86"/>
    </row>
    <row r="2790" spans="1:1" s="126" customFormat="1">
      <c r="A2790" s="86"/>
    </row>
    <row r="2791" spans="1:1" s="126" customFormat="1">
      <c r="A2791" s="86"/>
    </row>
    <row r="2792" spans="1:1" s="126" customFormat="1">
      <c r="A2792" s="86"/>
    </row>
    <row r="2793" spans="1:1" s="126" customFormat="1">
      <c r="A2793" s="86"/>
    </row>
    <row r="2794" spans="1:1" s="126" customFormat="1">
      <c r="A2794" s="86"/>
    </row>
    <row r="2795" spans="1:1" s="126" customFormat="1">
      <c r="A2795" s="86"/>
    </row>
    <row r="2796" spans="1:1" s="126" customFormat="1">
      <c r="A2796" s="86"/>
    </row>
    <row r="2797" spans="1:1" s="126" customFormat="1">
      <c r="A2797" s="86"/>
    </row>
    <row r="2798" spans="1:1" s="126" customFormat="1">
      <c r="A2798" s="86"/>
    </row>
    <row r="2799" spans="1:1" s="126" customFormat="1">
      <c r="A2799" s="86"/>
    </row>
    <row r="2800" spans="1:1" s="126" customFormat="1">
      <c r="A2800" s="86"/>
    </row>
    <row r="2801" spans="1:1" s="126" customFormat="1">
      <c r="A2801" s="86"/>
    </row>
    <row r="2802" spans="1:1" s="126" customFormat="1">
      <c r="A2802" s="86"/>
    </row>
    <row r="2803" spans="1:1" s="126" customFormat="1">
      <c r="A2803" s="86"/>
    </row>
    <row r="2804" spans="1:1" s="126" customFormat="1">
      <c r="A2804" s="86"/>
    </row>
    <row r="2805" spans="1:1" s="126" customFormat="1">
      <c r="A2805" s="86"/>
    </row>
    <row r="2806" spans="1:1" s="126" customFormat="1">
      <c r="A2806" s="86"/>
    </row>
    <row r="2807" spans="1:1" s="126" customFormat="1">
      <c r="A2807" s="86"/>
    </row>
    <row r="2808" spans="1:1" s="126" customFormat="1">
      <c r="A2808" s="86"/>
    </row>
    <row r="2809" spans="1:1" s="126" customFormat="1">
      <c r="A2809" s="86"/>
    </row>
    <row r="2810" spans="1:1" s="126" customFormat="1">
      <c r="A2810" s="86"/>
    </row>
    <row r="2811" spans="1:1" s="126" customFormat="1">
      <c r="A2811" s="86"/>
    </row>
    <row r="2812" spans="1:1" s="126" customFormat="1">
      <c r="A2812" s="86"/>
    </row>
    <row r="2813" spans="1:1" s="126" customFormat="1">
      <c r="A2813" s="86"/>
    </row>
    <row r="2814" spans="1:1" s="126" customFormat="1">
      <c r="A2814" s="86"/>
    </row>
    <row r="2815" spans="1:1" s="126" customFormat="1">
      <c r="A2815" s="86"/>
    </row>
    <row r="2816" spans="1:1" s="126" customFormat="1">
      <c r="A2816" s="86"/>
    </row>
    <row r="2817" spans="1:1" s="126" customFormat="1">
      <c r="A2817" s="86"/>
    </row>
    <row r="2818" spans="1:1" s="126" customFormat="1">
      <c r="A2818" s="86"/>
    </row>
    <row r="2819" spans="1:1" s="126" customFormat="1">
      <c r="A2819" s="86"/>
    </row>
    <row r="2820" spans="1:1" s="126" customFormat="1">
      <c r="A2820" s="86"/>
    </row>
    <row r="2821" spans="1:1" s="126" customFormat="1">
      <c r="A2821" s="86"/>
    </row>
    <row r="2822" spans="1:1" s="126" customFormat="1">
      <c r="A2822" s="86"/>
    </row>
    <row r="2823" spans="1:1" s="126" customFormat="1">
      <c r="A2823" s="86"/>
    </row>
    <row r="2824" spans="1:1" s="126" customFormat="1">
      <c r="A2824" s="86"/>
    </row>
    <row r="2825" spans="1:1" s="126" customFormat="1">
      <c r="A2825" s="86"/>
    </row>
    <row r="2826" spans="1:1" s="126" customFormat="1">
      <c r="A2826" s="86"/>
    </row>
    <row r="2827" spans="1:1" s="126" customFormat="1">
      <c r="A2827" s="86"/>
    </row>
    <row r="2828" spans="1:1" s="126" customFormat="1">
      <c r="A2828" s="86"/>
    </row>
    <row r="2829" spans="1:1" s="126" customFormat="1">
      <c r="A2829" s="86"/>
    </row>
    <row r="2830" spans="1:1" s="126" customFormat="1">
      <c r="A2830" s="86"/>
    </row>
    <row r="2831" spans="1:1" s="126" customFormat="1">
      <c r="A2831" s="86"/>
    </row>
    <row r="2832" spans="1:1" s="126" customFormat="1">
      <c r="A2832" s="86"/>
    </row>
    <row r="2833" spans="1:1" s="126" customFormat="1">
      <c r="A2833" s="86"/>
    </row>
    <row r="2834" spans="1:1" s="126" customFormat="1">
      <c r="A2834" s="86"/>
    </row>
    <row r="2835" spans="1:1" s="126" customFormat="1">
      <c r="A2835" s="86"/>
    </row>
    <row r="2836" spans="1:1" s="126" customFormat="1">
      <c r="A2836" s="86"/>
    </row>
    <row r="2837" spans="1:1" s="126" customFormat="1">
      <c r="A2837" s="86"/>
    </row>
    <row r="2838" spans="1:1" s="126" customFormat="1">
      <c r="A2838" s="86"/>
    </row>
    <row r="2839" spans="1:1" s="126" customFormat="1">
      <c r="A2839" s="86"/>
    </row>
    <row r="2840" spans="1:1" s="126" customFormat="1">
      <c r="A2840" s="86"/>
    </row>
    <row r="2841" spans="1:1" s="126" customFormat="1">
      <c r="A2841" s="86"/>
    </row>
    <row r="2842" spans="1:1" s="126" customFormat="1">
      <c r="A2842" s="86"/>
    </row>
    <row r="2843" spans="1:1" s="126" customFormat="1">
      <c r="A2843" s="86"/>
    </row>
    <row r="2844" spans="1:1" s="126" customFormat="1">
      <c r="A2844" s="86"/>
    </row>
    <row r="2845" spans="1:1" s="126" customFormat="1">
      <c r="A2845" s="86"/>
    </row>
    <row r="2846" spans="1:1" s="126" customFormat="1">
      <c r="A2846" s="86"/>
    </row>
    <row r="2847" spans="1:1" s="126" customFormat="1">
      <c r="A2847" s="86"/>
    </row>
    <row r="2848" spans="1:1" s="126" customFormat="1">
      <c r="A2848" s="86"/>
    </row>
    <row r="2849" spans="1:1" s="126" customFormat="1">
      <c r="A2849" s="86"/>
    </row>
    <row r="2850" spans="1:1" s="126" customFormat="1">
      <c r="A2850" s="86"/>
    </row>
    <row r="2851" spans="1:1" s="126" customFormat="1">
      <c r="A2851" s="86"/>
    </row>
    <row r="2852" spans="1:1" s="126" customFormat="1">
      <c r="A2852" s="86"/>
    </row>
    <row r="2853" spans="1:1" s="126" customFormat="1">
      <c r="A2853" s="86"/>
    </row>
    <row r="2854" spans="1:1" s="126" customFormat="1">
      <c r="A2854" s="86"/>
    </row>
    <row r="2855" spans="1:1" s="126" customFormat="1">
      <c r="A2855" s="86"/>
    </row>
    <row r="2856" spans="1:1" s="126" customFormat="1">
      <c r="A2856" s="86"/>
    </row>
    <row r="2857" spans="1:1" s="126" customFormat="1">
      <c r="A2857" s="86"/>
    </row>
    <row r="2858" spans="1:1" s="126" customFormat="1">
      <c r="A2858" s="86"/>
    </row>
    <row r="2859" spans="1:1" s="126" customFormat="1">
      <c r="A2859" s="86"/>
    </row>
    <row r="2860" spans="1:1" s="126" customFormat="1">
      <c r="A2860" s="86"/>
    </row>
    <row r="2861" spans="1:1" s="126" customFormat="1">
      <c r="A2861" s="86"/>
    </row>
    <row r="2862" spans="1:1" s="126" customFormat="1">
      <c r="A2862" s="86"/>
    </row>
    <row r="2863" spans="1:1" s="126" customFormat="1">
      <c r="A2863" s="86"/>
    </row>
    <row r="2864" spans="1:1" s="126" customFormat="1">
      <c r="A2864" s="86"/>
    </row>
    <row r="2865" spans="1:1" s="126" customFormat="1">
      <c r="A2865" s="86"/>
    </row>
    <row r="2866" spans="1:1" s="126" customFormat="1">
      <c r="A2866" s="86"/>
    </row>
    <row r="2867" spans="1:1" s="126" customFormat="1">
      <c r="A2867" s="86"/>
    </row>
    <row r="2868" spans="1:1" s="126" customFormat="1">
      <c r="A2868" s="86"/>
    </row>
    <row r="2869" spans="1:1" s="126" customFormat="1">
      <c r="A2869" s="86"/>
    </row>
    <row r="2870" spans="1:1" s="126" customFormat="1">
      <c r="A2870" s="86"/>
    </row>
    <row r="2871" spans="1:1" s="126" customFormat="1">
      <c r="A2871" s="86"/>
    </row>
    <row r="2872" spans="1:1" s="126" customFormat="1">
      <c r="A2872" s="86"/>
    </row>
    <row r="2873" spans="1:1" s="126" customFormat="1">
      <c r="A2873" s="86"/>
    </row>
    <row r="2874" spans="1:1" s="126" customFormat="1">
      <c r="A2874" s="86"/>
    </row>
    <row r="2875" spans="1:1" s="126" customFormat="1">
      <c r="A2875" s="86"/>
    </row>
    <row r="2876" spans="1:1" s="126" customFormat="1">
      <c r="A2876" s="86"/>
    </row>
    <row r="2877" spans="1:1" s="126" customFormat="1">
      <c r="A2877" s="86"/>
    </row>
    <row r="2878" spans="1:1" s="126" customFormat="1">
      <c r="A2878" s="86"/>
    </row>
    <row r="2879" spans="1:1" s="126" customFormat="1">
      <c r="A2879" s="86"/>
    </row>
    <row r="2880" spans="1:1" s="126" customFormat="1">
      <c r="A2880" s="86"/>
    </row>
    <row r="2881" spans="1:1" s="126" customFormat="1">
      <c r="A2881" s="86"/>
    </row>
    <row r="2882" spans="1:1" s="126" customFormat="1">
      <c r="A2882" s="86"/>
    </row>
    <row r="2883" spans="1:1" s="126" customFormat="1">
      <c r="A2883" s="86"/>
    </row>
    <row r="2884" spans="1:1" s="126" customFormat="1">
      <c r="A2884" s="86"/>
    </row>
    <row r="2885" spans="1:1" s="126" customFormat="1">
      <c r="A2885" s="86"/>
    </row>
    <row r="2886" spans="1:1" s="126" customFormat="1">
      <c r="A2886" s="86"/>
    </row>
    <row r="2887" spans="1:1" s="126" customFormat="1">
      <c r="A2887" s="86"/>
    </row>
    <row r="2888" spans="1:1" s="126" customFormat="1">
      <c r="A2888" s="86"/>
    </row>
    <row r="2889" spans="1:1" s="126" customFormat="1">
      <c r="A2889" s="86"/>
    </row>
    <row r="2890" spans="1:1" s="126" customFormat="1">
      <c r="A2890" s="86"/>
    </row>
    <row r="2891" spans="1:1" s="126" customFormat="1">
      <c r="A2891" s="86"/>
    </row>
    <row r="2892" spans="1:1" s="126" customFormat="1">
      <c r="A2892" s="86"/>
    </row>
    <row r="2893" spans="1:1" s="126" customFormat="1">
      <c r="A2893" s="86"/>
    </row>
    <row r="2894" spans="1:1" s="126" customFormat="1">
      <c r="A2894" s="86"/>
    </row>
    <row r="2895" spans="1:1" s="126" customFormat="1">
      <c r="A2895" s="86"/>
    </row>
    <row r="2896" spans="1:1" s="126" customFormat="1">
      <c r="A2896" s="86"/>
    </row>
    <row r="2897" spans="1:1" s="126" customFormat="1">
      <c r="A2897" s="86"/>
    </row>
    <row r="2898" spans="1:1" s="126" customFormat="1">
      <c r="A2898" s="86"/>
    </row>
    <row r="2899" spans="1:1" s="126" customFormat="1">
      <c r="A2899" s="86"/>
    </row>
    <row r="2900" spans="1:1" s="126" customFormat="1">
      <c r="A2900" s="86"/>
    </row>
    <row r="2901" spans="1:1" s="126" customFormat="1">
      <c r="A2901" s="86"/>
    </row>
    <row r="2902" spans="1:1" s="126" customFormat="1">
      <c r="A2902" s="86"/>
    </row>
    <row r="2903" spans="1:1" s="126" customFormat="1">
      <c r="A2903" s="86"/>
    </row>
    <row r="2904" spans="1:1" s="126" customFormat="1">
      <c r="A2904" s="86"/>
    </row>
    <row r="2905" spans="1:1" s="126" customFormat="1">
      <c r="A2905" s="86"/>
    </row>
    <row r="2906" spans="1:1" s="126" customFormat="1">
      <c r="A2906" s="86"/>
    </row>
    <row r="2907" spans="1:1" s="126" customFormat="1">
      <c r="A2907" s="86"/>
    </row>
    <row r="2908" spans="1:1" s="126" customFormat="1">
      <c r="A2908" s="86"/>
    </row>
    <row r="2909" spans="1:1" s="126" customFormat="1">
      <c r="A2909" s="86"/>
    </row>
    <row r="2910" spans="1:1" s="126" customFormat="1">
      <c r="A2910" s="86"/>
    </row>
    <row r="2911" spans="1:1" s="126" customFormat="1">
      <c r="A2911" s="86"/>
    </row>
    <row r="2912" spans="1:1" s="126" customFormat="1">
      <c r="A2912" s="86"/>
    </row>
    <row r="2913" spans="1:1" s="126" customFormat="1">
      <c r="A2913" s="86"/>
    </row>
    <row r="2914" spans="1:1" s="126" customFormat="1">
      <c r="A2914" s="86"/>
    </row>
    <row r="2915" spans="1:1" s="126" customFormat="1">
      <c r="A2915" s="86"/>
    </row>
    <row r="2916" spans="1:1" s="126" customFormat="1">
      <c r="A2916" s="86"/>
    </row>
    <row r="2917" spans="1:1" s="126" customFormat="1">
      <c r="A2917" s="86"/>
    </row>
    <row r="2918" spans="1:1" s="126" customFormat="1">
      <c r="A2918" s="86"/>
    </row>
    <row r="2919" spans="1:1" s="126" customFormat="1">
      <c r="A2919" s="86"/>
    </row>
    <row r="2920" spans="1:1" s="126" customFormat="1">
      <c r="A2920" s="86"/>
    </row>
    <row r="2921" spans="1:1" s="126" customFormat="1">
      <c r="A2921" s="86"/>
    </row>
    <row r="2922" spans="1:1" s="126" customFormat="1">
      <c r="A2922" s="86"/>
    </row>
    <row r="2923" spans="1:1" s="126" customFormat="1">
      <c r="A2923" s="86"/>
    </row>
    <row r="2924" spans="1:1" s="126" customFormat="1">
      <c r="A2924" s="86"/>
    </row>
    <row r="2925" spans="1:1" s="126" customFormat="1">
      <c r="A2925" s="86"/>
    </row>
    <row r="2926" spans="1:1" s="126" customFormat="1">
      <c r="A2926" s="86"/>
    </row>
    <row r="2927" spans="1:1" s="126" customFormat="1">
      <c r="A2927" s="86"/>
    </row>
    <row r="2928" spans="1:1" s="126" customFormat="1">
      <c r="A2928" s="86"/>
    </row>
    <row r="2929" spans="1:1" s="126" customFormat="1">
      <c r="A2929" s="86"/>
    </row>
    <row r="2930" spans="1:1" s="126" customFormat="1">
      <c r="A2930" s="86"/>
    </row>
    <row r="2931" spans="1:1" s="126" customFormat="1">
      <c r="A2931" s="86"/>
    </row>
    <row r="2932" spans="1:1" s="126" customFormat="1">
      <c r="A2932" s="86"/>
    </row>
    <row r="2933" spans="1:1" s="126" customFormat="1">
      <c r="A2933" s="86"/>
    </row>
    <row r="2934" spans="1:1" s="126" customFormat="1">
      <c r="A2934" s="86"/>
    </row>
    <row r="2935" spans="1:1" s="126" customFormat="1">
      <c r="A2935" s="86"/>
    </row>
    <row r="2936" spans="1:1" s="126" customFormat="1">
      <c r="A2936" s="86"/>
    </row>
    <row r="2937" spans="1:1" s="126" customFormat="1">
      <c r="A2937" s="86"/>
    </row>
    <row r="2938" spans="1:1" s="126" customFormat="1">
      <c r="A2938" s="86"/>
    </row>
    <row r="2939" spans="1:1" s="126" customFormat="1">
      <c r="A2939" s="86"/>
    </row>
    <row r="2940" spans="1:1" s="126" customFormat="1">
      <c r="A2940" s="86"/>
    </row>
    <row r="2941" spans="1:1" s="126" customFormat="1">
      <c r="A2941" s="86"/>
    </row>
    <row r="2942" spans="1:1" s="126" customFormat="1">
      <c r="A2942" s="86"/>
    </row>
    <row r="2943" spans="1:1" s="126" customFormat="1">
      <c r="A2943" s="86"/>
    </row>
    <row r="2944" spans="1:1" s="126" customFormat="1">
      <c r="A2944" s="86"/>
    </row>
    <row r="2945" spans="1:1" s="126" customFormat="1">
      <c r="A2945" s="86"/>
    </row>
    <row r="2946" spans="1:1" s="126" customFormat="1">
      <c r="A2946" s="86"/>
    </row>
    <row r="2947" spans="1:1" s="126" customFormat="1">
      <c r="A2947" s="86"/>
    </row>
    <row r="2948" spans="1:1" s="126" customFormat="1">
      <c r="A2948" s="86"/>
    </row>
    <row r="2949" spans="1:1" s="126" customFormat="1">
      <c r="A2949" s="86"/>
    </row>
    <row r="2950" spans="1:1" s="126" customFormat="1">
      <c r="A2950" s="86"/>
    </row>
    <row r="2951" spans="1:1" s="126" customFormat="1">
      <c r="A2951" s="86"/>
    </row>
    <row r="2952" spans="1:1" s="126" customFormat="1">
      <c r="A2952" s="86"/>
    </row>
    <row r="2953" spans="1:1" s="126" customFormat="1">
      <c r="A2953" s="86"/>
    </row>
    <row r="2954" spans="1:1" s="126" customFormat="1">
      <c r="A2954" s="86"/>
    </row>
    <row r="2955" spans="1:1" s="126" customFormat="1">
      <c r="A2955" s="86"/>
    </row>
    <row r="2956" spans="1:1" s="126" customFormat="1">
      <c r="A2956" s="86"/>
    </row>
    <row r="2957" spans="1:1" s="126" customFormat="1">
      <c r="A2957" s="86"/>
    </row>
    <row r="2958" spans="1:1" s="126" customFormat="1">
      <c r="A2958" s="86"/>
    </row>
    <row r="2959" spans="1:1" s="126" customFormat="1">
      <c r="A2959" s="86"/>
    </row>
    <row r="2960" spans="1:1" s="126" customFormat="1">
      <c r="A2960" s="86"/>
    </row>
    <row r="2961" spans="1:1" s="126" customFormat="1">
      <c r="A2961" s="86"/>
    </row>
    <row r="2962" spans="1:1" s="126" customFormat="1">
      <c r="A2962" s="86"/>
    </row>
    <row r="2963" spans="1:1" s="126" customFormat="1">
      <c r="A2963" s="86"/>
    </row>
    <row r="2964" spans="1:1" s="126" customFormat="1">
      <c r="A2964" s="86"/>
    </row>
    <row r="2965" spans="1:1" s="126" customFormat="1">
      <c r="A2965" s="86"/>
    </row>
    <row r="2966" spans="1:1" s="126" customFormat="1">
      <c r="A2966" s="86"/>
    </row>
    <row r="2967" spans="1:1" s="126" customFormat="1">
      <c r="A2967" s="86"/>
    </row>
    <row r="2968" spans="1:1" s="126" customFormat="1">
      <c r="A2968" s="86"/>
    </row>
    <row r="2969" spans="1:1" s="126" customFormat="1">
      <c r="A2969" s="86"/>
    </row>
    <row r="2970" spans="1:1" s="126" customFormat="1">
      <c r="A2970" s="86"/>
    </row>
    <row r="2971" spans="1:1" s="126" customFormat="1">
      <c r="A2971" s="86"/>
    </row>
    <row r="2972" spans="1:1" s="126" customFormat="1">
      <c r="A2972" s="86"/>
    </row>
    <row r="2973" spans="1:1" s="126" customFormat="1">
      <c r="A2973" s="86"/>
    </row>
    <row r="2974" spans="1:1" s="126" customFormat="1">
      <c r="A2974" s="86"/>
    </row>
    <row r="2975" spans="1:1" s="126" customFormat="1">
      <c r="A2975" s="86"/>
    </row>
    <row r="2976" spans="1:1" s="126" customFormat="1">
      <c r="A2976" s="86"/>
    </row>
    <row r="2977" spans="1:1" s="126" customFormat="1">
      <c r="A2977" s="86"/>
    </row>
    <row r="2978" spans="1:1" s="126" customFormat="1">
      <c r="A2978" s="86"/>
    </row>
    <row r="2979" spans="1:1" s="126" customFormat="1">
      <c r="A2979" s="86"/>
    </row>
    <row r="2980" spans="1:1" s="126" customFormat="1">
      <c r="A2980" s="86"/>
    </row>
    <row r="2981" spans="1:1" s="126" customFormat="1">
      <c r="A2981" s="86"/>
    </row>
    <row r="2982" spans="1:1" s="126" customFormat="1">
      <c r="A2982" s="86"/>
    </row>
    <row r="2983" spans="1:1" s="126" customFormat="1">
      <c r="A2983" s="86"/>
    </row>
    <row r="2984" spans="1:1" s="126" customFormat="1">
      <c r="A2984" s="86"/>
    </row>
    <row r="2985" spans="1:1" s="126" customFormat="1">
      <c r="A2985" s="86"/>
    </row>
    <row r="2986" spans="1:1" s="126" customFormat="1">
      <c r="A2986" s="86"/>
    </row>
    <row r="2987" spans="1:1" s="126" customFormat="1">
      <c r="A2987" s="86"/>
    </row>
    <row r="2988" spans="1:1" s="126" customFormat="1">
      <c r="A2988" s="86"/>
    </row>
    <row r="2989" spans="1:1" s="126" customFormat="1">
      <c r="A2989" s="86"/>
    </row>
    <row r="2990" spans="1:1" s="126" customFormat="1">
      <c r="A2990" s="86"/>
    </row>
    <row r="2991" spans="1:1" s="126" customFormat="1">
      <c r="A2991" s="86"/>
    </row>
    <row r="2992" spans="1:1" s="126" customFormat="1">
      <c r="A2992" s="86"/>
    </row>
    <row r="2993" spans="1:1" s="126" customFormat="1">
      <c r="A2993" s="86"/>
    </row>
    <row r="2994" spans="1:1" s="126" customFormat="1">
      <c r="A2994" s="86"/>
    </row>
    <row r="2995" spans="1:1" s="126" customFormat="1">
      <c r="A2995" s="86"/>
    </row>
    <row r="2996" spans="1:1" s="126" customFormat="1">
      <c r="A2996" s="86"/>
    </row>
    <row r="2997" spans="1:1" s="126" customFormat="1">
      <c r="A2997" s="86"/>
    </row>
    <row r="2998" spans="1:1" s="126" customFormat="1">
      <c r="A2998" s="86"/>
    </row>
    <row r="2999" spans="1:1" s="126" customFormat="1">
      <c r="A2999" s="86"/>
    </row>
    <row r="3000" spans="1:1" s="126" customFormat="1">
      <c r="A3000" s="86"/>
    </row>
    <row r="3001" spans="1:1" s="126" customFormat="1">
      <c r="A3001" s="86"/>
    </row>
    <row r="3002" spans="1:1" s="126" customFormat="1">
      <c r="A3002" s="86"/>
    </row>
    <row r="3003" spans="1:1" s="126" customFormat="1">
      <c r="A3003" s="86"/>
    </row>
    <row r="3004" spans="1:1" s="126" customFormat="1">
      <c r="A3004" s="86"/>
    </row>
    <row r="3005" spans="1:1" s="126" customFormat="1">
      <c r="A3005" s="86"/>
    </row>
    <row r="3006" spans="1:1" s="126" customFormat="1">
      <c r="A3006" s="86"/>
    </row>
    <row r="3007" spans="1:1" s="126" customFormat="1">
      <c r="A3007" s="86"/>
    </row>
    <row r="3008" spans="1:1" s="126" customFormat="1">
      <c r="A3008" s="86"/>
    </row>
    <row r="3009" spans="1:1" s="126" customFormat="1">
      <c r="A3009" s="86"/>
    </row>
    <row r="3010" spans="1:1" s="126" customFormat="1">
      <c r="A3010" s="86"/>
    </row>
    <row r="3011" spans="1:1" s="126" customFormat="1">
      <c r="A3011" s="86"/>
    </row>
    <row r="3012" spans="1:1" s="126" customFormat="1">
      <c r="A3012" s="86"/>
    </row>
    <row r="3013" spans="1:1" s="126" customFormat="1">
      <c r="A3013" s="86"/>
    </row>
    <row r="3014" spans="1:1" s="126" customFormat="1">
      <c r="A3014" s="86"/>
    </row>
    <row r="3015" spans="1:1" s="126" customFormat="1">
      <c r="A3015" s="86"/>
    </row>
    <row r="3016" spans="1:1" s="126" customFormat="1">
      <c r="A3016" s="86"/>
    </row>
    <row r="3017" spans="1:1" s="126" customFormat="1">
      <c r="A3017" s="86"/>
    </row>
    <row r="3018" spans="1:1" s="126" customFormat="1">
      <c r="A3018" s="86"/>
    </row>
    <row r="3019" spans="1:1" s="126" customFormat="1">
      <c r="A3019" s="86"/>
    </row>
    <row r="3020" spans="1:1" s="126" customFormat="1">
      <c r="A3020" s="86"/>
    </row>
    <row r="3021" spans="1:1" s="126" customFormat="1">
      <c r="A3021" s="86"/>
    </row>
    <row r="3022" spans="1:1" s="126" customFormat="1">
      <c r="A3022" s="86"/>
    </row>
    <row r="3023" spans="1:1" s="126" customFormat="1">
      <c r="A3023" s="86"/>
    </row>
    <row r="3024" spans="1:1" s="126" customFormat="1">
      <c r="A3024" s="86"/>
    </row>
    <row r="3025" spans="1:1" s="126" customFormat="1">
      <c r="A3025" s="86"/>
    </row>
    <row r="3026" spans="1:1" s="126" customFormat="1">
      <c r="A3026" s="86"/>
    </row>
    <row r="3027" spans="1:1" s="126" customFormat="1">
      <c r="A3027" s="86"/>
    </row>
    <row r="3028" spans="1:1" s="126" customFormat="1">
      <c r="A3028" s="86"/>
    </row>
    <row r="3029" spans="1:1" s="126" customFormat="1">
      <c r="A3029" s="86"/>
    </row>
    <row r="3030" spans="1:1" s="126" customFormat="1">
      <c r="A3030" s="86"/>
    </row>
    <row r="3031" spans="1:1" s="126" customFormat="1">
      <c r="A3031" s="86"/>
    </row>
    <row r="3032" spans="1:1" s="126" customFormat="1">
      <c r="A3032" s="86"/>
    </row>
    <row r="3033" spans="1:1" s="126" customFormat="1">
      <c r="A3033" s="86"/>
    </row>
    <row r="3034" spans="1:1" s="126" customFormat="1">
      <c r="A3034" s="86"/>
    </row>
    <row r="3035" spans="1:1" s="126" customFormat="1">
      <c r="A3035" s="86"/>
    </row>
    <row r="3036" spans="1:1" s="126" customFormat="1">
      <c r="A3036" s="86"/>
    </row>
    <row r="3037" spans="1:1" s="126" customFormat="1">
      <c r="A3037" s="86"/>
    </row>
    <row r="3038" spans="1:1" s="126" customFormat="1">
      <c r="A3038" s="86"/>
    </row>
    <row r="3039" spans="1:1" s="126" customFormat="1">
      <c r="A3039" s="86"/>
    </row>
    <row r="3040" spans="1:1" s="126" customFormat="1">
      <c r="A3040" s="86"/>
    </row>
    <row r="3041" spans="1:1" s="126" customFormat="1">
      <c r="A3041" s="86"/>
    </row>
    <row r="3042" spans="1:1" s="126" customFormat="1">
      <c r="A3042" s="86"/>
    </row>
    <row r="3043" spans="1:1" s="126" customFormat="1">
      <c r="A3043" s="86"/>
    </row>
    <row r="3044" spans="1:1" s="126" customFormat="1">
      <c r="A3044" s="86"/>
    </row>
    <row r="3045" spans="1:1" s="126" customFormat="1">
      <c r="A3045" s="86"/>
    </row>
    <row r="3046" spans="1:1" s="126" customFormat="1">
      <c r="A3046" s="86"/>
    </row>
    <row r="3047" spans="1:1" s="126" customFormat="1">
      <c r="A3047" s="86"/>
    </row>
    <row r="3048" spans="1:1" s="126" customFormat="1">
      <c r="A3048" s="86"/>
    </row>
    <row r="3049" spans="1:1" s="126" customFormat="1">
      <c r="A3049" s="86"/>
    </row>
    <row r="3050" spans="1:1" s="126" customFormat="1">
      <c r="A3050" s="86"/>
    </row>
    <row r="3051" spans="1:1" s="126" customFormat="1">
      <c r="A3051" s="86"/>
    </row>
    <row r="3052" spans="1:1" s="126" customFormat="1">
      <c r="A3052" s="86"/>
    </row>
    <row r="3053" spans="1:1" s="126" customFormat="1">
      <c r="A3053" s="86"/>
    </row>
    <row r="3054" spans="1:1" s="126" customFormat="1">
      <c r="A3054" s="86"/>
    </row>
    <row r="3055" spans="1:1" s="126" customFormat="1">
      <c r="A3055" s="86"/>
    </row>
    <row r="3056" spans="1:1" s="126" customFormat="1">
      <c r="A3056" s="86"/>
    </row>
    <row r="3057" spans="1:1" s="126" customFormat="1">
      <c r="A3057" s="86"/>
    </row>
    <row r="3058" spans="1:1" s="126" customFormat="1">
      <c r="A3058" s="86"/>
    </row>
    <row r="3059" spans="1:1" s="126" customFormat="1">
      <c r="A3059" s="86"/>
    </row>
    <row r="3060" spans="1:1" s="126" customFormat="1">
      <c r="A3060" s="86"/>
    </row>
    <row r="3061" spans="1:1" s="126" customFormat="1">
      <c r="A3061" s="86"/>
    </row>
    <row r="3062" spans="1:1" s="126" customFormat="1">
      <c r="A3062" s="86"/>
    </row>
    <row r="3063" spans="1:1" s="126" customFormat="1">
      <c r="A3063" s="86"/>
    </row>
    <row r="3064" spans="1:1" s="126" customFormat="1">
      <c r="A3064" s="86"/>
    </row>
    <row r="3065" spans="1:1" s="126" customFormat="1">
      <c r="A3065" s="86"/>
    </row>
    <row r="3066" spans="1:1" s="126" customFormat="1">
      <c r="A3066" s="86"/>
    </row>
    <row r="3067" spans="1:1" s="126" customFormat="1">
      <c r="A3067" s="86"/>
    </row>
    <row r="3068" spans="1:1" s="126" customFormat="1">
      <c r="A3068" s="86"/>
    </row>
    <row r="3069" spans="1:1" s="126" customFormat="1">
      <c r="A3069" s="86"/>
    </row>
    <row r="3070" spans="1:1" s="126" customFormat="1">
      <c r="A3070" s="86"/>
    </row>
    <row r="3071" spans="1:1" s="126" customFormat="1">
      <c r="A3071" s="86"/>
    </row>
    <row r="3072" spans="1:1" s="126" customFormat="1">
      <c r="A3072" s="86"/>
    </row>
    <row r="3073" spans="1:1" s="126" customFormat="1">
      <c r="A3073" s="86"/>
    </row>
    <row r="3074" spans="1:1" s="126" customFormat="1">
      <c r="A3074" s="86"/>
    </row>
    <row r="3075" spans="1:1" s="126" customFormat="1">
      <c r="A3075" s="86"/>
    </row>
    <row r="3076" spans="1:1" s="126" customFormat="1">
      <c r="A3076" s="86"/>
    </row>
    <row r="3077" spans="1:1" s="126" customFormat="1">
      <c r="A3077" s="86"/>
    </row>
    <row r="3078" spans="1:1" s="126" customFormat="1">
      <c r="A3078" s="86"/>
    </row>
    <row r="3079" spans="1:1" s="126" customFormat="1">
      <c r="A3079" s="86"/>
    </row>
    <row r="3080" spans="1:1" s="126" customFormat="1">
      <c r="A3080" s="86"/>
    </row>
    <row r="3081" spans="1:1" s="126" customFormat="1">
      <c r="A3081" s="86"/>
    </row>
    <row r="3082" spans="1:1" s="126" customFormat="1">
      <c r="A3082" s="86"/>
    </row>
    <row r="3083" spans="1:1" s="126" customFormat="1">
      <c r="A3083" s="86"/>
    </row>
    <row r="3084" spans="1:1" s="126" customFormat="1">
      <c r="A3084" s="86"/>
    </row>
    <row r="3085" spans="1:1" s="126" customFormat="1">
      <c r="A3085" s="86"/>
    </row>
    <row r="3086" spans="1:1" s="126" customFormat="1">
      <c r="A3086" s="86"/>
    </row>
    <row r="3087" spans="1:1" s="126" customFormat="1">
      <c r="A3087" s="86"/>
    </row>
    <row r="3088" spans="1:1" s="126" customFormat="1">
      <c r="A3088" s="86"/>
    </row>
    <row r="3089" spans="1:1" s="126" customFormat="1">
      <c r="A3089" s="86"/>
    </row>
    <row r="3090" spans="1:1" s="126" customFormat="1">
      <c r="A3090" s="86"/>
    </row>
    <row r="3091" spans="1:1" s="126" customFormat="1">
      <c r="A3091" s="86"/>
    </row>
    <row r="3092" spans="1:1" s="126" customFormat="1">
      <c r="A3092" s="86"/>
    </row>
    <row r="3093" spans="1:1" s="126" customFormat="1">
      <c r="A3093" s="86"/>
    </row>
    <row r="3094" spans="1:1" s="126" customFormat="1">
      <c r="A3094" s="86"/>
    </row>
    <row r="3095" spans="1:1" s="126" customFormat="1">
      <c r="A3095" s="86"/>
    </row>
    <row r="3096" spans="1:1" s="126" customFormat="1">
      <c r="A3096" s="86"/>
    </row>
    <row r="3097" spans="1:1" s="126" customFormat="1">
      <c r="A3097" s="86"/>
    </row>
    <row r="3098" spans="1:1" s="126" customFormat="1">
      <c r="A3098" s="86"/>
    </row>
    <row r="3099" spans="1:1" s="126" customFormat="1">
      <c r="A3099" s="86"/>
    </row>
    <row r="3100" spans="1:1" s="126" customFormat="1">
      <c r="A3100" s="86"/>
    </row>
    <row r="3101" spans="1:1" s="126" customFormat="1">
      <c r="A3101" s="86"/>
    </row>
    <row r="3102" spans="1:1" s="126" customFormat="1">
      <c r="A3102" s="86"/>
    </row>
    <row r="3103" spans="1:1" s="126" customFormat="1">
      <c r="A3103" s="86"/>
    </row>
    <row r="3104" spans="1:1" s="126" customFormat="1">
      <c r="A3104" s="86"/>
    </row>
    <row r="3105" spans="1:1" s="126" customFormat="1">
      <c r="A3105" s="86"/>
    </row>
    <row r="3106" spans="1:1" s="126" customFormat="1">
      <c r="A3106" s="86"/>
    </row>
    <row r="3107" spans="1:1" s="126" customFormat="1">
      <c r="A3107" s="86"/>
    </row>
    <row r="3108" spans="1:1" s="126" customFormat="1">
      <c r="A3108" s="86"/>
    </row>
    <row r="3109" spans="1:1" s="126" customFormat="1">
      <c r="A3109" s="86"/>
    </row>
    <row r="3110" spans="1:1" s="126" customFormat="1">
      <c r="A3110" s="86"/>
    </row>
    <row r="3111" spans="1:1" s="126" customFormat="1">
      <c r="A3111" s="86"/>
    </row>
    <row r="3112" spans="1:1" s="126" customFormat="1">
      <c r="A3112" s="86"/>
    </row>
    <row r="3113" spans="1:1" s="126" customFormat="1">
      <c r="A3113" s="86"/>
    </row>
    <row r="3114" spans="1:1" s="126" customFormat="1">
      <c r="A3114" s="86"/>
    </row>
    <row r="3115" spans="1:1" s="126" customFormat="1">
      <c r="A3115" s="86"/>
    </row>
    <row r="3116" spans="1:1" s="126" customFormat="1">
      <c r="A3116" s="86"/>
    </row>
    <row r="3117" spans="1:1" s="126" customFormat="1">
      <c r="A3117" s="86"/>
    </row>
    <row r="3118" spans="1:1" s="126" customFormat="1">
      <c r="A3118" s="86"/>
    </row>
    <row r="3119" spans="1:1" s="126" customFormat="1">
      <c r="A3119" s="86"/>
    </row>
    <row r="3120" spans="1:1" s="126" customFormat="1">
      <c r="A3120" s="86"/>
    </row>
    <row r="3121" spans="1:1" s="126" customFormat="1">
      <c r="A3121" s="86"/>
    </row>
    <row r="3122" spans="1:1" s="126" customFormat="1">
      <c r="A3122" s="86"/>
    </row>
    <row r="3123" spans="1:1" s="126" customFormat="1">
      <c r="A3123" s="86"/>
    </row>
    <row r="3124" spans="1:1" s="126" customFormat="1">
      <c r="A3124" s="86"/>
    </row>
    <row r="3125" spans="1:1" s="126" customFormat="1">
      <c r="A3125" s="86"/>
    </row>
    <row r="3126" spans="1:1" s="126" customFormat="1">
      <c r="A3126" s="86"/>
    </row>
    <row r="3127" spans="1:1" s="126" customFormat="1">
      <c r="A3127" s="86"/>
    </row>
    <row r="3128" spans="1:1" s="126" customFormat="1">
      <c r="A3128" s="86"/>
    </row>
    <row r="3129" spans="1:1" s="126" customFormat="1">
      <c r="A3129" s="86"/>
    </row>
    <row r="3130" spans="1:1" s="126" customFormat="1">
      <c r="A3130" s="86"/>
    </row>
    <row r="3131" spans="1:1" s="126" customFormat="1">
      <c r="A3131" s="86"/>
    </row>
    <row r="3132" spans="1:1" s="126" customFormat="1">
      <c r="A3132" s="86"/>
    </row>
    <row r="3133" spans="1:1" s="126" customFormat="1">
      <c r="A3133" s="86"/>
    </row>
    <row r="3134" spans="1:1" s="126" customFormat="1">
      <c r="A3134" s="86"/>
    </row>
    <row r="3135" spans="1:1" s="126" customFormat="1">
      <c r="A3135" s="86"/>
    </row>
    <row r="3136" spans="1:1" s="126" customFormat="1">
      <c r="A3136" s="86"/>
    </row>
    <row r="3137" spans="1:1" s="126" customFormat="1">
      <c r="A3137" s="86"/>
    </row>
    <row r="3138" spans="1:1" s="126" customFormat="1">
      <c r="A3138" s="86"/>
    </row>
    <row r="3139" spans="1:1" s="126" customFormat="1">
      <c r="A3139" s="86"/>
    </row>
    <row r="3140" spans="1:1" s="126" customFormat="1">
      <c r="A3140" s="86"/>
    </row>
    <row r="3141" spans="1:1" s="126" customFormat="1">
      <c r="A3141" s="86"/>
    </row>
    <row r="3142" spans="1:1" s="126" customFormat="1">
      <c r="A3142" s="86"/>
    </row>
    <row r="3143" spans="1:1" s="126" customFormat="1">
      <c r="A3143" s="86"/>
    </row>
    <row r="3144" spans="1:1" s="126" customFormat="1">
      <c r="A3144" s="86"/>
    </row>
    <row r="3145" spans="1:1" s="126" customFormat="1">
      <c r="A3145" s="86"/>
    </row>
    <row r="3146" spans="1:1" s="126" customFormat="1">
      <c r="A3146" s="86"/>
    </row>
    <row r="3147" spans="1:1" s="126" customFormat="1">
      <c r="A3147" s="86"/>
    </row>
    <row r="3148" spans="1:1" s="126" customFormat="1">
      <c r="A3148" s="86"/>
    </row>
    <row r="3149" spans="1:1" s="126" customFormat="1">
      <c r="A3149" s="86"/>
    </row>
    <row r="3150" spans="1:1" s="126" customFormat="1">
      <c r="A3150" s="86"/>
    </row>
    <row r="3151" spans="1:1" s="126" customFormat="1">
      <c r="A3151" s="86"/>
    </row>
    <row r="3152" spans="1:1" s="126" customFormat="1">
      <c r="A3152" s="86"/>
    </row>
    <row r="3153" spans="1:1" s="126" customFormat="1">
      <c r="A3153" s="86"/>
    </row>
    <row r="3154" spans="1:1" s="126" customFormat="1">
      <c r="A3154" s="86"/>
    </row>
    <row r="3155" spans="1:1" s="126" customFormat="1">
      <c r="A3155" s="86"/>
    </row>
    <row r="3156" spans="1:1" s="126" customFormat="1">
      <c r="A3156" s="86"/>
    </row>
    <row r="3157" spans="1:1" s="126" customFormat="1">
      <c r="A3157" s="86"/>
    </row>
    <row r="3158" spans="1:1" s="126" customFormat="1">
      <c r="A3158" s="86"/>
    </row>
    <row r="3159" spans="1:1" s="126" customFormat="1">
      <c r="A3159" s="86"/>
    </row>
    <row r="3160" spans="1:1" s="126" customFormat="1">
      <c r="A3160" s="86"/>
    </row>
    <row r="3161" spans="1:1" s="126" customFormat="1">
      <c r="A3161" s="86"/>
    </row>
    <row r="3162" spans="1:1" s="126" customFormat="1">
      <c r="A3162" s="86"/>
    </row>
    <row r="3163" spans="1:1" s="126" customFormat="1">
      <c r="A3163" s="86"/>
    </row>
    <row r="3164" spans="1:1" s="126" customFormat="1">
      <c r="A3164" s="86"/>
    </row>
    <row r="3165" spans="1:1" s="126" customFormat="1">
      <c r="A3165" s="86"/>
    </row>
    <row r="3166" spans="1:1" s="126" customFormat="1">
      <c r="A3166" s="86"/>
    </row>
    <row r="3167" spans="1:1" s="126" customFormat="1">
      <c r="A3167" s="86"/>
    </row>
    <row r="3168" spans="1:1" s="126" customFormat="1">
      <c r="A3168" s="86"/>
    </row>
    <row r="3169" spans="1:1" s="126" customFormat="1">
      <c r="A3169" s="86"/>
    </row>
    <row r="3170" spans="1:1" s="126" customFormat="1">
      <c r="A3170" s="86"/>
    </row>
    <row r="3171" spans="1:1" s="126" customFormat="1">
      <c r="A3171" s="86"/>
    </row>
    <row r="3172" spans="1:1" s="126" customFormat="1">
      <c r="A3172" s="86"/>
    </row>
    <row r="3173" spans="1:1" s="126" customFormat="1">
      <c r="A3173" s="86"/>
    </row>
    <row r="3174" spans="1:1" s="126" customFormat="1">
      <c r="A3174" s="86"/>
    </row>
    <row r="3175" spans="1:1" s="126" customFormat="1">
      <c r="A3175" s="86"/>
    </row>
    <row r="3176" spans="1:1" s="126" customFormat="1">
      <c r="A3176" s="86"/>
    </row>
    <row r="3177" spans="1:1" s="126" customFormat="1">
      <c r="A3177" s="86"/>
    </row>
    <row r="3178" spans="1:1" s="126" customFormat="1">
      <c r="A3178" s="86"/>
    </row>
    <row r="3179" spans="1:1" s="126" customFormat="1">
      <c r="A3179" s="86"/>
    </row>
    <row r="3180" spans="1:1" s="126" customFormat="1">
      <c r="A3180" s="86"/>
    </row>
    <row r="3181" spans="1:1" s="126" customFormat="1">
      <c r="A3181" s="86"/>
    </row>
    <row r="3182" spans="1:1" s="126" customFormat="1">
      <c r="A3182" s="86"/>
    </row>
    <row r="3183" spans="1:1" s="126" customFormat="1">
      <c r="A3183" s="86"/>
    </row>
    <row r="3184" spans="1:1" s="126" customFormat="1">
      <c r="A3184" s="86"/>
    </row>
    <row r="3185" spans="1:1" s="126" customFormat="1">
      <c r="A3185" s="86"/>
    </row>
    <row r="3186" spans="1:1" s="126" customFormat="1">
      <c r="A3186" s="86"/>
    </row>
    <row r="3187" spans="1:1" s="126" customFormat="1">
      <c r="A3187" s="86"/>
    </row>
    <row r="3188" spans="1:1" s="126" customFormat="1">
      <c r="A3188" s="86"/>
    </row>
    <row r="3189" spans="1:1" s="126" customFormat="1">
      <c r="A3189" s="86"/>
    </row>
    <row r="3190" spans="1:1" s="126" customFormat="1">
      <c r="A3190" s="86"/>
    </row>
    <row r="3191" spans="1:1" s="126" customFormat="1">
      <c r="A3191" s="86"/>
    </row>
    <row r="3192" spans="1:1" s="126" customFormat="1">
      <c r="A3192" s="86"/>
    </row>
    <row r="3193" spans="1:1" s="126" customFormat="1">
      <c r="A3193" s="86"/>
    </row>
    <row r="3194" spans="1:1" s="126" customFormat="1">
      <c r="A3194" s="86"/>
    </row>
    <row r="3195" spans="1:1" s="126" customFormat="1">
      <c r="A3195" s="86"/>
    </row>
    <row r="3196" spans="1:1" s="126" customFormat="1">
      <c r="A3196" s="86"/>
    </row>
    <row r="3197" spans="1:1" s="126" customFormat="1">
      <c r="A3197" s="86"/>
    </row>
    <row r="3198" spans="1:1" s="126" customFormat="1">
      <c r="A3198" s="86"/>
    </row>
    <row r="3199" spans="1:1" s="126" customFormat="1">
      <c r="A3199" s="86"/>
    </row>
    <row r="3200" spans="1:1" s="126" customFormat="1">
      <c r="A3200" s="86"/>
    </row>
    <row r="3201" spans="1:1" s="126" customFormat="1">
      <c r="A3201" s="86"/>
    </row>
    <row r="3202" spans="1:1" s="126" customFormat="1">
      <c r="A3202" s="86"/>
    </row>
    <row r="3203" spans="1:1" s="126" customFormat="1">
      <c r="A3203" s="86"/>
    </row>
    <row r="3204" spans="1:1" s="126" customFormat="1">
      <c r="A3204" s="86"/>
    </row>
    <row r="3205" spans="1:1" s="126" customFormat="1">
      <c r="A3205" s="86"/>
    </row>
    <row r="3206" spans="1:1" s="126" customFormat="1">
      <c r="A3206" s="86"/>
    </row>
    <row r="3207" spans="1:1" s="126" customFormat="1">
      <c r="A3207" s="86"/>
    </row>
    <row r="3208" spans="1:1" s="126" customFormat="1">
      <c r="A3208" s="86"/>
    </row>
    <row r="3209" spans="1:1" s="126" customFormat="1">
      <c r="A3209" s="86"/>
    </row>
    <row r="3210" spans="1:1" s="126" customFormat="1">
      <c r="A3210" s="86"/>
    </row>
    <row r="3211" spans="1:1" s="126" customFormat="1">
      <c r="A3211" s="86"/>
    </row>
    <row r="3212" spans="1:1" s="126" customFormat="1">
      <c r="A3212" s="86"/>
    </row>
    <row r="3213" spans="1:1" s="126" customFormat="1">
      <c r="A3213" s="86"/>
    </row>
    <row r="3214" spans="1:1" s="126" customFormat="1">
      <c r="A3214" s="86"/>
    </row>
    <row r="3215" spans="1:1" s="126" customFormat="1">
      <c r="A3215" s="86"/>
    </row>
    <row r="3216" spans="1:1" s="126" customFormat="1">
      <c r="A3216" s="86"/>
    </row>
    <row r="3217" spans="1:1" s="126" customFormat="1">
      <c r="A3217" s="86"/>
    </row>
    <row r="3218" spans="1:1" s="126" customFormat="1">
      <c r="A3218" s="86"/>
    </row>
    <row r="3219" spans="1:1" s="126" customFormat="1">
      <c r="A3219" s="86"/>
    </row>
    <row r="3220" spans="1:1" s="126" customFormat="1">
      <c r="A3220" s="86"/>
    </row>
    <row r="3221" spans="1:1" s="126" customFormat="1">
      <c r="A3221" s="86"/>
    </row>
    <row r="3222" spans="1:1" s="126" customFormat="1">
      <c r="A3222" s="86"/>
    </row>
    <row r="3223" spans="1:1" s="126" customFormat="1">
      <c r="A3223" s="86"/>
    </row>
    <row r="3224" spans="1:1" s="126" customFormat="1">
      <c r="A3224" s="86"/>
    </row>
    <row r="3225" spans="1:1" s="126" customFormat="1">
      <c r="A3225" s="86"/>
    </row>
    <row r="3226" spans="1:1" s="126" customFormat="1">
      <c r="A3226" s="86"/>
    </row>
    <row r="3227" spans="1:1" s="126" customFormat="1">
      <c r="A3227" s="86"/>
    </row>
    <row r="3228" spans="1:1" s="126" customFormat="1">
      <c r="A3228" s="86"/>
    </row>
    <row r="3229" spans="1:1" s="126" customFormat="1">
      <c r="A3229" s="86"/>
    </row>
    <row r="3230" spans="1:1" s="126" customFormat="1">
      <c r="A3230" s="86"/>
    </row>
    <row r="3231" spans="1:1" s="126" customFormat="1">
      <c r="A3231" s="86"/>
    </row>
    <row r="3232" spans="1:1" s="126" customFormat="1">
      <c r="A3232" s="86"/>
    </row>
    <row r="3233" spans="1:1" s="126" customFormat="1">
      <c r="A3233" s="86"/>
    </row>
    <row r="3234" spans="1:1" s="126" customFormat="1">
      <c r="A3234" s="86"/>
    </row>
    <row r="3235" spans="1:1" s="126" customFormat="1">
      <c r="A3235" s="86"/>
    </row>
    <row r="3236" spans="1:1" s="126" customFormat="1">
      <c r="A3236" s="86"/>
    </row>
    <row r="3237" spans="1:1" s="126" customFormat="1">
      <c r="A3237" s="86"/>
    </row>
    <row r="3238" spans="1:1" s="126" customFormat="1">
      <c r="A3238" s="86"/>
    </row>
    <row r="3239" spans="1:1" s="126" customFormat="1">
      <c r="A3239" s="86"/>
    </row>
    <row r="3240" spans="1:1" s="126" customFormat="1">
      <c r="A3240" s="86"/>
    </row>
    <row r="3241" spans="1:1" s="126" customFormat="1">
      <c r="A3241" s="86"/>
    </row>
    <row r="3242" spans="1:1" s="126" customFormat="1">
      <c r="A3242" s="86"/>
    </row>
    <row r="3243" spans="1:1" s="126" customFormat="1">
      <c r="A3243" s="86"/>
    </row>
    <row r="3244" spans="1:1" s="126" customFormat="1">
      <c r="A3244" s="86"/>
    </row>
    <row r="3245" spans="1:1" s="126" customFormat="1">
      <c r="A3245" s="86"/>
    </row>
    <row r="3246" spans="1:1" s="126" customFormat="1">
      <c r="A3246" s="86"/>
    </row>
    <row r="3247" spans="1:1" s="126" customFormat="1">
      <c r="A3247" s="86"/>
    </row>
    <row r="3248" spans="1:1" s="126" customFormat="1">
      <c r="A3248" s="86"/>
    </row>
    <row r="3249" spans="1:1" s="126" customFormat="1">
      <c r="A3249" s="86"/>
    </row>
    <row r="3250" spans="1:1" s="126" customFormat="1">
      <c r="A3250" s="86"/>
    </row>
    <row r="3251" spans="1:1" s="126" customFormat="1">
      <c r="A3251" s="86"/>
    </row>
    <row r="3252" spans="1:1" s="126" customFormat="1">
      <c r="A3252" s="86"/>
    </row>
    <row r="3253" spans="1:1" s="126" customFormat="1">
      <c r="A3253" s="86"/>
    </row>
    <row r="3254" spans="1:1" s="126" customFormat="1">
      <c r="A3254" s="86"/>
    </row>
    <row r="3255" spans="1:1" s="126" customFormat="1">
      <c r="A3255" s="86"/>
    </row>
    <row r="3256" spans="1:1" s="126" customFormat="1">
      <c r="A3256" s="86"/>
    </row>
    <row r="3257" spans="1:1" s="126" customFormat="1">
      <c r="A3257" s="86"/>
    </row>
    <row r="3258" spans="1:1" s="126" customFormat="1">
      <c r="A3258" s="86"/>
    </row>
    <row r="3259" spans="1:1" s="126" customFormat="1">
      <c r="A3259" s="86"/>
    </row>
    <row r="3260" spans="1:1" s="126" customFormat="1">
      <c r="A3260" s="86"/>
    </row>
    <row r="3261" spans="1:1" s="126" customFormat="1">
      <c r="A3261" s="86"/>
    </row>
    <row r="3262" spans="1:1" s="126" customFormat="1">
      <c r="A3262" s="86"/>
    </row>
    <row r="3263" spans="1:1" s="126" customFormat="1">
      <c r="A3263" s="86"/>
    </row>
    <row r="3264" spans="1:1" s="126" customFormat="1">
      <c r="A3264" s="86"/>
    </row>
    <row r="3265" spans="1:1" s="126" customFormat="1">
      <c r="A3265" s="86"/>
    </row>
    <row r="3266" spans="1:1" s="126" customFormat="1">
      <c r="A3266" s="86"/>
    </row>
    <row r="3267" spans="1:1" s="126" customFormat="1">
      <c r="A3267" s="86"/>
    </row>
    <row r="3268" spans="1:1" s="126" customFormat="1">
      <c r="A3268" s="86"/>
    </row>
    <row r="3269" spans="1:1" s="126" customFormat="1">
      <c r="A3269" s="86"/>
    </row>
    <row r="3270" spans="1:1" s="126" customFormat="1">
      <c r="A3270" s="86"/>
    </row>
    <row r="3271" spans="1:1" s="126" customFormat="1">
      <c r="A3271" s="86"/>
    </row>
    <row r="3272" spans="1:1" s="126" customFormat="1">
      <c r="A3272" s="86"/>
    </row>
    <row r="3273" spans="1:1" s="126" customFormat="1">
      <c r="A3273" s="86"/>
    </row>
    <row r="3274" spans="1:1" s="126" customFormat="1">
      <c r="A3274" s="86"/>
    </row>
    <row r="3275" spans="1:1" s="126" customFormat="1">
      <c r="A3275" s="86"/>
    </row>
    <row r="3276" spans="1:1" s="126" customFormat="1">
      <c r="A3276" s="86"/>
    </row>
    <row r="3277" spans="1:1" s="126" customFormat="1">
      <c r="A3277" s="86"/>
    </row>
    <row r="3278" spans="1:1" s="126" customFormat="1">
      <c r="A3278" s="86"/>
    </row>
    <row r="3279" spans="1:1" s="126" customFormat="1">
      <c r="A3279" s="86"/>
    </row>
    <row r="3280" spans="1:1" s="126" customFormat="1">
      <c r="A3280" s="86"/>
    </row>
    <row r="3281" spans="1:1" s="126" customFormat="1">
      <c r="A3281" s="86"/>
    </row>
    <row r="3282" spans="1:1" s="126" customFormat="1">
      <c r="A3282" s="86"/>
    </row>
    <row r="3283" spans="1:1" s="126" customFormat="1">
      <c r="A3283" s="86"/>
    </row>
    <row r="3284" spans="1:1" s="126" customFormat="1">
      <c r="A3284" s="86"/>
    </row>
    <row r="3285" spans="1:1" s="126" customFormat="1">
      <c r="A3285" s="86"/>
    </row>
    <row r="3286" spans="1:1" s="126" customFormat="1">
      <c r="A3286" s="86"/>
    </row>
    <row r="3287" spans="1:1" s="126" customFormat="1">
      <c r="A3287" s="86"/>
    </row>
    <row r="3288" spans="1:1" s="126" customFormat="1">
      <c r="A3288" s="86"/>
    </row>
    <row r="3289" spans="1:1" s="126" customFormat="1">
      <c r="A3289" s="86"/>
    </row>
    <row r="3290" spans="1:1" s="126" customFormat="1">
      <c r="A3290" s="86"/>
    </row>
    <row r="3291" spans="1:1" s="126" customFormat="1">
      <c r="A3291" s="86"/>
    </row>
    <row r="3292" spans="1:1" s="126" customFormat="1">
      <c r="A3292" s="86"/>
    </row>
    <row r="3293" spans="1:1" s="126" customFormat="1">
      <c r="A3293" s="86"/>
    </row>
    <row r="3294" spans="1:1" s="126" customFormat="1">
      <c r="A3294" s="86"/>
    </row>
    <row r="3295" spans="1:1" s="126" customFormat="1">
      <c r="A3295" s="86"/>
    </row>
    <row r="3296" spans="1:1" s="126" customFormat="1">
      <c r="A3296" s="86"/>
    </row>
    <row r="3297" spans="1:1" s="126" customFormat="1">
      <c r="A3297" s="86"/>
    </row>
    <row r="3298" spans="1:1" s="126" customFormat="1">
      <c r="A3298" s="86"/>
    </row>
    <row r="3299" spans="1:1" s="126" customFormat="1">
      <c r="A3299" s="86"/>
    </row>
    <row r="3300" spans="1:1" s="126" customFormat="1">
      <c r="A3300" s="86"/>
    </row>
    <row r="3301" spans="1:1" s="126" customFormat="1">
      <c r="A3301" s="86"/>
    </row>
    <row r="3302" spans="1:1" s="126" customFormat="1">
      <c r="A3302" s="86"/>
    </row>
    <row r="3303" spans="1:1" s="126" customFormat="1">
      <c r="A3303" s="86"/>
    </row>
    <row r="3304" spans="1:1" s="126" customFormat="1">
      <c r="A3304" s="86"/>
    </row>
    <row r="3305" spans="1:1" s="126" customFormat="1">
      <c r="A3305" s="86"/>
    </row>
    <row r="3306" spans="1:1" s="126" customFormat="1">
      <c r="A3306" s="86"/>
    </row>
    <row r="3307" spans="1:1" s="126" customFormat="1">
      <c r="A3307" s="86"/>
    </row>
    <row r="3308" spans="1:1" s="126" customFormat="1">
      <c r="A3308" s="86"/>
    </row>
    <row r="3309" spans="1:1" s="126" customFormat="1">
      <c r="A3309" s="86"/>
    </row>
    <row r="3310" spans="1:1" s="126" customFormat="1">
      <c r="A3310" s="86"/>
    </row>
    <row r="3311" spans="1:1" s="126" customFormat="1">
      <c r="A3311" s="86"/>
    </row>
    <row r="3312" spans="1:1" s="126" customFormat="1">
      <c r="A3312" s="86"/>
    </row>
    <row r="3313" spans="1:1" s="126" customFormat="1">
      <c r="A3313" s="86"/>
    </row>
    <row r="3314" spans="1:1" s="126" customFormat="1">
      <c r="A3314" s="86"/>
    </row>
    <row r="3315" spans="1:1" s="126" customFormat="1">
      <c r="A3315" s="86"/>
    </row>
    <row r="3316" spans="1:1" s="126" customFormat="1">
      <c r="A3316" s="86"/>
    </row>
    <row r="3317" spans="1:1" s="126" customFormat="1">
      <c r="A3317" s="86"/>
    </row>
    <row r="3318" spans="1:1" s="126" customFormat="1">
      <c r="A3318" s="86"/>
    </row>
    <row r="3319" spans="1:1" s="126" customFormat="1">
      <c r="A3319" s="86"/>
    </row>
    <row r="3320" spans="1:1" s="126" customFormat="1">
      <c r="A3320" s="86"/>
    </row>
    <row r="3321" spans="1:1" s="126" customFormat="1">
      <c r="A3321" s="86"/>
    </row>
    <row r="3322" spans="1:1" s="126" customFormat="1">
      <c r="A3322" s="86"/>
    </row>
    <row r="3323" spans="1:1" s="126" customFormat="1">
      <c r="A3323" s="86"/>
    </row>
    <row r="3324" spans="1:1" s="126" customFormat="1">
      <c r="A3324" s="86"/>
    </row>
    <row r="3325" spans="1:1" s="126" customFormat="1">
      <c r="A3325" s="86"/>
    </row>
    <row r="3326" spans="1:1" s="126" customFormat="1">
      <c r="A3326" s="86"/>
    </row>
    <row r="3327" spans="1:1" s="126" customFormat="1">
      <c r="A3327" s="86"/>
    </row>
    <row r="3328" spans="1:1" s="126" customFormat="1">
      <c r="A3328" s="86"/>
    </row>
    <row r="3329" spans="1:1" s="126" customFormat="1">
      <c r="A3329" s="86"/>
    </row>
    <row r="3330" spans="1:1" s="126" customFormat="1">
      <c r="A3330" s="86"/>
    </row>
    <row r="3331" spans="1:1" s="126" customFormat="1">
      <c r="A3331" s="86"/>
    </row>
    <row r="3332" spans="1:1" s="126" customFormat="1">
      <c r="A3332" s="86"/>
    </row>
    <row r="3333" spans="1:1" s="126" customFormat="1">
      <c r="A3333" s="86"/>
    </row>
    <row r="3334" spans="1:1" s="126" customFormat="1">
      <c r="A3334" s="86"/>
    </row>
    <row r="3335" spans="1:1" s="126" customFormat="1">
      <c r="A3335" s="86"/>
    </row>
    <row r="3336" spans="1:1" s="126" customFormat="1">
      <c r="A3336" s="86"/>
    </row>
    <row r="3337" spans="1:1" s="126" customFormat="1">
      <c r="A3337" s="86"/>
    </row>
    <row r="3338" spans="1:1" s="126" customFormat="1">
      <c r="A3338" s="86"/>
    </row>
    <row r="3339" spans="1:1" s="126" customFormat="1">
      <c r="A3339" s="86"/>
    </row>
    <row r="3340" spans="1:1" s="126" customFormat="1">
      <c r="A3340" s="86"/>
    </row>
    <row r="3341" spans="1:1" s="126" customFormat="1">
      <c r="A3341" s="86"/>
    </row>
    <row r="3342" spans="1:1" s="126" customFormat="1">
      <c r="A3342" s="86"/>
    </row>
    <row r="3343" spans="1:1" s="126" customFormat="1">
      <c r="A3343" s="86"/>
    </row>
    <row r="3344" spans="1:1" s="126" customFormat="1">
      <c r="A3344" s="86"/>
    </row>
    <row r="3345" spans="1:1" s="126" customFormat="1">
      <c r="A3345" s="86"/>
    </row>
    <row r="3346" spans="1:1" s="126" customFormat="1">
      <c r="A3346" s="86"/>
    </row>
    <row r="3347" spans="1:1" s="126" customFormat="1">
      <c r="A3347" s="86"/>
    </row>
    <row r="3348" spans="1:1" s="126" customFormat="1">
      <c r="A3348" s="86"/>
    </row>
    <row r="3349" spans="1:1" s="126" customFormat="1">
      <c r="A3349" s="86"/>
    </row>
    <row r="3350" spans="1:1" s="126" customFormat="1">
      <c r="A3350" s="86"/>
    </row>
    <row r="3351" spans="1:1" s="126" customFormat="1">
      <c r="A3351" s="86"/>
    </row>
    <row r="3352" spans="1:1" s="126" customFormat="1">
      <c r="A3352" s="86"/>
    </row>
    <row r="3353" spans="1:1" s="126" customFormat="1">
      <c r="A3353" s="86"/>
    </row>
    <row r="3354" spans="1:1" s="126" customFormat="1">
      <c r="A3354" s="86"/>
    </row>
    <row r="3355" spans="1:1" s="126" customFormat="1">
      <c r="A3355" s="86"/>
    </row>
    <row r="3356" spans="1:1" s="126" customFormat="1">
      <c r="A3356" s="86"/>
    </row>
    <row r="3357" spans="1:1" s="126" customFormat="1">
      <c r="A3357" s="86"/>
    </row>
    <row r="3358" spans="1:1" s="126" customFormat="1">
      <c r="A3358" s="86"/>
    </row>
    <row r="3359" spans="1:1" s="126" customFormat="1">
      <c r="A3359" s="86"/>
    </row>
    <row r="3360" spans="1:1" s="126" customFormat="1">
      <c r="A3360" s="86"/>
    </row>
    <row r="3361" spans="1:1" s="126" customFormat="1">
      <c r="A3361" s="86"/>
    </row>
    <row r="3362" spans="1:1" s="126" customFormat="1">
      <c r="A3362" s="86"/>
    </row>
    <row r="3363" spans="1:1" s="126" customFormat="1">
      <c r="A3363" s="86"/>
    </row>
    <row r="3364" spans="1:1" s="126" customFormat="1">
      <c r="A3364" s="86"/>
    </row>
    <row r="3365" spans="1:1" s="126" customFormat="1">
      <c r="A3365" s="86"/>
    </row>
    <row r="3366" spans="1:1" s="126" customFormat="1">
      <c r="A3366" s="86"/>
    </row>
    <row r="3367" spans="1:1" s="126" customFormat="1">
      <c r="A3367" s="86"/>
    </row>
    <row r="3368" spans="1:1" s="126" customFormat="1">
      <c r="A3368" s="86"/>
    </row>
    <row r="3369" spans="1:1" s="126" customFormat="1">
      <c r="A3369" s="86"/>
    </row>
    <row r="3370" spans="1:1" s="126" customFormat="1">
      <c r="A3370" s="86"/>
    </row>
    <row r="3371" spans="1:1" s="126" customFormat="1">
      <c r="A3371" s="86"/>
    </row>
    <row r="3372" spans="1:1" s="126" customFormat="1">
      <c r="A3372" s="86"/>
    </row>
    <row r="3373" spans="1:1" s="126" customFormat="1">
      <c r="A3373" s="86"/>
    </row>
    <row r="3374" spans="1:1" s="126" customFormat="1">
      <c r="A3374" s="86"/>
    </row>
    <row r="3375" spans="1:1" s="126" customFormat="1">
      <c r="A3375" s="86"/>
    </row>
    <row r="3376" spans="1:1" s="126" customFormat="1">
      <c r="A3376" s="86"/>
    </row>
    <row r="3377" spans="1:1" s="126" customFormat="1">
      <c r="A3377" s="86"/>
    </row>
    <row r="3378" spans="1:1" s="126" customFormat="1">
      <c r="A3378" s="86"/>
    </row>
    <row r="3379" spans="1:1" s="126" customFormat="1">
      <c r="A3379" s="86"/>
    </row>
    <row r="3380" spans="1:1" s="126" customFormat="1">
      <c r="A3380" s="86"/>
    </row>
    <row r="3381" spans="1:1" s="126" customFormat="1">
      <c r="A3381" s="86"/>
    </row>
    <row r="3382" spans="1:1" s="126" customFormat="1">
      <c r="A3382" s="86"/>
    </row>
    <row r="3383" spans="1:1" s="126" customFormat="1">
      <c r="A3383" s="86"/>
    </row>
    <row r="3384" spans="1:1" s="126" customFormat="1">
      <c r="A3384" s="86"/>
    </row>
    <row r="3385" spans="1:1" s="126" customFormat="1">
      <c r="A3385" s="86"/>
    </row>
    <row r="3386" spans="1:1" s="126" customFormat="1">
      <c r="A3386" s="86"/>
    </row>
    <row r="3387" spans="1:1" s="126" customFormat="1">
      <c r="A3387" s="86"/>
    </row>
    <row r="3388" spans="1:1" s="126" customFormat="1">
      <c r="A3388" s="86"/>
    </row>
    <row r="3389" spans="1:1" s="126" customFormat="1">
      <c r="A3389" s="86"/>
    </row>
    <row r="3390" spans="1:1" s="126" customFormat="1">
      <c r="A3390" s="86"/>
    </row>
    <row r="3391" spans="1:1" s="126" customFormat="1">
      <c r="A3391" s="86"/>
    </row>
    <row r="3392" spans="1:1" s="126" customFormat="1">
      <c r="A3392" s="86"/>
    </row>
    <row r="3393" spans="1:1" s="126" customFormat="1">
      <c r="A3393" s="86"/>
    </row>
    <row r="3394" spans="1:1" s="126" customFormat="1">
      <c r="A3394" s="86"/>
    </row>
    <row r="3395" spans="1:1" s="126" customFormat="1">
      <c r="A3395" s="86"/>
    </row>
    <row r="3396" spans="1:1" s="126" customFormat="1">
      <c r="A3396" s="86"/>
    </row>
    <row r="3397" spans="1:1" s="126" customFormat="1">
      <c r="A3397" s="86"/>
    </row>
    <row r="3398" spans="1:1" s="126" customFormat="1">
      <c r="A3398" s="86"/>
    </row>
    <row r="3399" spans="1:1" s="126" customFormat="1">
      <c r="A3399" s="86"/>
    </row>
    <row r="3400" spans="1:1" s="126" customFormat="1">
      <c r="A3400" s="86"/>
    </row>
    <row r="3401" spans="1:1" s="126" customFormat="1">
      <c r="A3401" s="86"/>
    </row>
    <row r="3402" spans="1:1" s="126" customFormat="1">
      <c r="A3402" s="86"/>
    </row>
    <row r="3403" spans="1:1" s="126" customFormat="1">
      <c r="A3403" s="86"/>
    </row>
    <row r="3404" spans="1:1" s="126" customFormat="1">
      <c r="A3404" s="86"/>
    </row>
    <row r="3405" spans="1:1" s="126" customFormat="1">
      <c r="A3405" s="86"/>
    </row>
    <row r="3406" spans="1:1" s="126" customFormat="1">
      <c r="A3406" s="86"/>
    </row>
    <row r="3407" spans="1:1" s="126" customFormat="1">
      <c r="A3407" s="86"/>
    </row>
    <row r="3408" spans="1:1" s="126" customFormat="1">
      <c r="A3408" s="86"/>
    </row>
    <row r="3409" spans="1:1" s="126" customFormat="1">
      <c r="A3409" s="86"/>
    </row>
    <row r="3410" spans="1:1" s="126" customFormat="1">
      <c r="A3410" s="86"/>
    </row>
    <row r="3411" spans="1:1" s="126" customFormat="1">
      <c r="A3411" s="86"/>
    </row>
    <row r="3412" spans="1:1" s="126" customFormat="1">
      <c r="A3412" s="86"/>
    </row>
    <row r="3413" spans="1:1" s="126" customFormat="1">
      <c r="A3413" s="86"/>
    </row>
    <row r="3414" spans="1:1" s="126" customFormat="1">
      <c r="A3414" s="86"/>
    </row>
    <row r="3415" spans="1:1" s="126" customFormat="1">
      <c r="A3415" s="86"/>
    </row>
    <row r="3416" spans="1:1" s="126" customFormat="1">
      <c r="A3416" s="86"/>
    </row>
    <row r="3417" spans="1:1" s="126" customFormat="1">
      <c r="A3417" s="86"/>
    </row>
    <row r="3418" spans="1:1" s="126" customFormat="1">
      <c r="A3418" s="86"/>
    </row>
    <row r="3419" spans="1:1" s="126" customFormat="1">
      <c r="A3419" s="86"/>
    </row>
    <row r="3420" spans="1:1" s="126" customFormat="1">
      <c r="A3420" s="86"/>
    </row>
    <row r="3421" spans="1:1" s="126" customFormat="1">
      <c r="A3421" s="86"/>
    </row>
    <row r="3422" spans="1:1" s="126" customFormat="1">
      <c r="A3422" s="86"/>
    </row>
    <row r="3423" spans="1:1" s="126" customFormat="1">
      <c r="A3423" s="86"/>
    </row>
    <row r="3424" spans="1:1" s="126" customFormat="1">
      <c r="A3424" s="86"/>
    </row>
    <row r="3425" spans="1:1" s="126" customFormat="1">
      <c r="A3425" s="86"/>
    </row>
    <row r="3426" spans="1:1" s="126" customFormat="1">
      <c r="A3426" s="86"/>
    </row>
    <row r="3427" spans="1:1" s="126" customFormat="1">
      <c r="A3427" s="86"/>
    </row>
    <row r="3428" spans="1:1" s="126" customFormat="1">
      <c r="A3428" s="86"/>
    </row>
    <row r="3429" spans="1:1" s="126" customFormat="1">
      <c r="A3429" s="86"/>
    </row>
    <row r="3430" spans="1:1" s="126" customFormat="1">
      <c r="A3430" s="86"/>
    </row>
    <row r="3431" spans="1:1" s="126" customFormat="1">
      <c r="A3431" s="86"/>
    </row>
    <row r="3432" spans="1:1" s="126" customFormat="1">
      <c r="A3432" s="86"/>
    </row>
    <row r="3433" spans="1:1" s="126" customFormat="1">
      <c r="A3433" s="86"/>
    </row>
    <row r="3434" spans="1:1" s="126" customFormat="1">
      <c r="A3434" s="86"/>
    </row>
    <row r="3435" spans="1:1" s="126" customFormat="1">
      <c r="A3435" s="86"/>
    </row>
    <row r="3436" spans="1:1" s="126" customFormat="1">
      <c r="A3436" s="86"/>
    </row>
    <row r="3437" spans="1:1" s="126" customFormat="1">
      <c r="A3437" s="86"/>
    </row>
    <row r="3438" spans="1:1" s="126" customFormat="1">
      <c r="A3438" s="86"/>
    </row>
    <row r="3439" spans="1:1" s="126" customFormat="1">
      <c r="A3439" s="86"/>
    </row>
    <row r="3440" spans="1:1" s="126" customFormat="1">
      <c r="A3440" s="86"/>
    </row>
    <row r="3441" spans="1:1" s="126" customFormat="1">
      <c r="A3441" s="86"/>
    </row>
    <row r="3442" spans="1:1" s="126" customFormat="1">
      <c r="A3442" s="86"/>
    </row>
    <row r="3443" spans="1:1" s="126" customFormat="1">
      <c r="A3443" s="86"/>
    </row>
    <row r="3444" spans="1:1" s="126" customFormat="1">
      <c r="A3444" s="86"/>
    </row>
    <row r="3445" spans="1:1" s="126" customFormat="1">
      <c r="A3445" s="86"/>
    </row>
    <row r="3446" spans="1:1" s="126" customFormat="1">
      <c r="A3446" s="86"/>
    </row>
    <row r="3447" spans="1:1" s="126" customFormat="1">
      <c r="A3447" s="86"/>
    </row>
    <row r="3448" spans="1:1" s="126" customFormat="1">
      <c r="A3448" s="86"/>
    </row>
    <row r="3449" spans="1:1" s="126" customFormat="1">
      <c r="A3449" s="86"/>
    </row>
    <row r="3450" spans="1:1" s="126" customFormat="1">
      <c r="A3450" s="86"/>
    </row>
    <row r="3451" spans="1:1" s="126" customFormat="1">
      <c r="A3451" s="86"/>
    </row>
    <row r="3452" spans="1:1" s="126" customFormat="1">
      <c r="A3452" s="86"/>
    </row>
    <row r="3453" spans="1:1" s="126" customFormat="1">
      <c r="A3453" s="86"/>
    </row>
    <row r="3454" spans="1:1" s="126" customFormat="1">
      <c r="A3454" s="86"/>
    </row>
    <row r="3455" spans="1:1" s="126" customFormat="1">
      <c r="A3455" s="86"/>
    </row>
    <row r="3456" spans="1:1" s="126" customFormat="1">
      <c r="A3456" s="86"/>
    </row>
    <row r="3457" spans="1:1" s="126" customFormat="1">
      <c r="A3457" s="86"/>
    </row>
    <row r="3458" spans="1:1" s="126" customFormat="1">
      <c r="A3458" s="86"/>
    </row>
    <row r="3459" spans="1:1" s="126" customFormat="1">
      <c r="A3459" s="86"/>
    </row>
    <row r="3460" spans="1:1" s="126" customFormat="1">
      <c r="A3460" s="86"/>
    </row>
    <row r="3461" spans="1:1" s="126" customFormat="1">
      <c r="A3461" s="86"/>
    </row>
    <row r="3462" spans="1:1" s="126" customFormat="1">
      <c r="A3462" s="86"/>
    </row>
    <row r="3463" spans="1:1" s="126" customFormat="1">
      <c r="A3463" s="86"/>
    </row>
    <row r="3464" spans="1:1" s="126" customFormat="1">
      <c r="A3464" s="86"/>
    </row>
    <row r="3465" spans="1:1" s="126" customFormat="1">
      <c r="A3465" s="86"/>
    </row>
    <row r="3466" spans="1:1" s="126" customFormat="1">
      <c r="A3466" s="86"/>
    </row>
    <row r="3467" spans="1:1" s="126" customFormat="1">
      <c r="A3467" s="86"/>
    </row>
    <row r="3468" spans="1:1" s="126" customFormat="1">
      <c r="A3468" s="86"/>
    </row>
    <row r="3469" spans="1:1" s="126" customFormat="1">
      <c r="A3469" s="86"/>
    </row>
    <row r="3470" spans="1:1" s="126" customFormat="1">
      <c r="A3470" s="86"/>
    </row>
    <row r="3471" spans="1:1" s="126" customFormat="1">
      <c r="A3471" s="86"/>
    </row>
    <row r="3472" spans="1:1" s="126" customFormat="1">
      <c r="A3472" s="86"/>
    </row>
    <row r="3473" spans="1:1" s="126" customFormat="1">
      <c r="A3473" s="86"/>
    </row>
    <row r="3474" spans="1:1" s="126" customFormat="1">
      <c r="A3474" s="86"/>
    </row>
    <row r="3475" spans="1:1" s="126" customFormat="1">
      <c r="A3475" s="86"/>
    </row>
    <row r="3476" spans="1:1" s="126" customFormat="1">
      <c r="A3476" s="86"/>
    </row>
    <row r="3477" spans="1:1" s="126" customFormat="1">
      <c r="A3477" s="86"/>
    </row>
    <row r="3478" spans="1:1" s="126" customFormat="1">
      <c r="A3478" s="86"/>
    </row>
    <row r="3479" spans="1:1" s="126" customFormat="1">
      <c r="A3479" s="86"/>
    </row>
    <row r="3480" spans="1:1" s="126" customFormat="1">
      <c r="A3480" s="86"/>
    </row>
    <row r="3481" spans="1:1" s="126" customFormat="1">
      <c r="A3481" s="86"/>
    </row>
    <row r="3482" spans="1:1" s="126" customFormat="1">
      <c r="A3482" s="86"/>
    </row>
    <row r="3483" spans="1:1" s="126" customFormat="1">
      <c r="A3483" s="86"/>
    </row>
    <row r="3484" spans="1:1" s="126" customFormat="1">
      <c r="A3484" s="86"/>
    </row>
    <row r="3485" spans="1:1" s="126" customFormat="1">
      <c r="A3485" s="86"/>
    </row>
    <row r="3486" spans="1:1" s="126" customFormat="1">
      <c r="A3486" s="86"/>
    </row>
    <row r="3487" spans="1:1" s="126" customFormat="1">
      <c r="A3487" s="86"/>
    </row>
    <row r="3488" spans="1:1" s="126" customFormat="1">
      <c r="A3488" s="86"/>
    </row>
    <row r="3489" spans="1:1" s="126" customFormat="1">
      <c r="A3489" s="86"/>
    </row>
    <row r="3490" spans="1:1" s="126" customFormat="1">
      <c r="A3490" s="86"/>
    </row>
    <row r="3491" spans="1:1" s="126" customFormat="1">
      <c r="A3491" s="86"/>
    </row>
    <row r="3492" spans="1:1" s="126" customFormat="1">
      <c r="A3492" s="86"/>
    </row>
    <row r="3493" spans="1:1" s="126" customFormat="1">
      <c r="A3493" s="86"/>
    </row>
    <row r="3494" spans="1:1" s="126" customFormat="1">
      <c r="A3494" s="86"/>
    </row>
    <row r="3495" spans="1:1" s="126" customFormat="1">
      <c r="A3495" s="86"/>
    </row>
    <row r="3496" spans="1:1" s="126" customFormat="1">
      <c r="A3496" s="86"/>
    </row>
    <row r="3497" spans="1:1" s="126" customFormat="1">
      <c r="A3497" s="86"/>
    </row>
    <row r="3498" spans="1:1" s="126" customFormat="1">
      <c r="A3498" s="86"/>
    </row>
    <row r="3499" spans="1:1" s="126" customFormat="1">
      <c r="A3499" s="86"/>
    </row>
    <row r="3500" spans="1:1" s="126" customFormat="1">
      <c r="A3500" s="86"/>
    </row>
    <row r="3501" spans="1:1" s="126" customFormat="1">
      <c r="A3501" s="86"/>
    </row>
    <row r="3502" spans="1:1" s="126" customFormat="1">
      <c r="A3502" s="86"/>
    </row>
    <row r="3503" spans="1:1" s="126" customFormat="1">
      <c r="A3503" s="86"/>
    </row>
    <row r="3504" spans="1:1" s="126" customFormat="1">
      <c r="A3504" s="86"/>
    </row>
    <row r="3505" spans="1:1" s="126" customFormat="1">
      <c r="A3505" s="86"/>
    </row>
    <row r="3506" spans="1:1" s="126" customFormat="1">
      <c r="A3506" s="86"/>
    </row>
    <row r="3507" spans="1:1" s="126" customFormat="1">
      <c r="A3507" s="86"/>
    </row>
    <row r="3508" spans="1:1" s="126" customFormat="1">
      <c r="A3508" s="86"/>
    </row>
    <row r="3509" spans="1:1" s="126" customFormat="1">
      <c r="A3509" s="86"/>
    </row>
    <row r="3510" spans="1:1" s="126" customFormat="1">
      <c r="A3510" s="86"/>
    </row>
    <row r="3511" spans="1:1" s="126" customFormat="1">
      <c r="A3511" s="86"/>
    </row>
    <row r="3512" spans="1:1" s="126" customFormat="1">
      <c r="A3512" s="86"/>
    </row>
    <row r="3513" spans="1:1" s="126" customFormat="1">
      <c r="A3513" s="86"/>
    </row>
    <row r="3514" spans="1:1" s="126" customFormat="1">
      <c r="A3514" s="86"/>
    </row>
    <row r="3515" spans="1:1" s="126" customFormat="1">
      <c r="A3515" s="86"/>
    </row>
    <row r="3516" spans="1:1" s="126" customFormat="1">
      <c r="A3516" s="86"/>
    </row>
    <row r="3517" spans="1:1" s="126" customFormat="1">
      <c r="A3517" s="86"/>
    </row>
    <row r="3518" spans="1:1" s="126" customFormat="1">
      <c r="A3518" s="86"/>
    </row>
    <row r="3519" spans="1:1" s="126" customFormat="1">
      <c r="A3519" s="86"/>
    </row>
    <row r="3520" spans="1:1" s="126" customFormat="1">
      <c r="A3520" s="86"/>
    </row>
    <row r="3521" spans="1:1" s="126" customFormat="1">
      <c r="A3521" s="86"/>
    </row>
    <row r="3522" spans="1:1" s="126" customFormat="1">
      <c r="A3522" s="86"/>
    </row>
    <row r="3523" spans="1:1" s="126" customFormat="1">
      <c r="A3523" s="86"/>
    </row>
    <row r="3524" spans="1:1" s="126" customFormat="1">
      <c r="A3524" s="86"/>
    </row>
    <row r="3525" spans="1:1" s="126" customFormat="1">
      <c r="A3525" s="86"/>
    </row>
    <row r="3526" spans="1:1" s="126" customFormat="1">
      <c r="A3526" s="86"/>
    </row>
    <row r="3527" spans="1:1" s="126" customFormat="1">
      <c r="A3527" s="86"/>
    </row>
    <row r="3528" spans="1:1" s="126" customFormat="1">
      <c r="A3528" s="86"/>
    </row>
    <row r="3529" spans="1:1" s="126" customFormat="1">
      <c r="A3529" s="86"/>
    </row>
    <row r="3530" spans="1:1" s="126" customFormat="1">
      <c r="A3530" s="86"/>
    </row>
    <row r="3531" spans="1:1" s="126" customFormat="1">
      <c r="A3531" s="86"/>
    </row>
    <row r="3532" spans="1:1" s="126" customFormat="1">
      <c r="A3532" s="86"/>
    </row>
    <row r="3533" spans="1:1" s="126" customFormat="1">
      <c r="A3533" s="86"/>
    </row>
    <row r="3534" spans="1:1" s="126" customFormat="1">
      <c r="A3534" s="86"/>
    </row>
    <row r="3535" spans="1:1" s="126" customFormat="1">
      <c r="A3535" s="86"/>
    </row>
    <row r="3536" spans="1:1" s="126" customFormat="1">
      <c r="A3536" s="86"/>
    </row>
    <row r="3537" spans="1:1" s="126" customFormat="1">
      <c r="A3537" s="86"/>
    </row>
    <row r="3538" spans="1:1" s="126" customFormat="1">
      <c r="A3538" s="86"/>
    </row>
    <row r="3539" spans="1:1" s="126" customFormat="1">
      <c r="A3539" s="86"/>
    </row>
    <row r="3540" spans="1:1" s="126" customFormat="1">
      <c r="A3540" s="86"/>
    </row>
    <row r="3541" spans="1:1" s="126" customFormat="1">
      <c r="A3541" s="86"/>
    </row>
    <row r="3542" spans="1:1" s="126" customFormat="1">
      <c r="A3542" s="86"/>
    </row>
    <row r="3543" spans="1:1" s="126" customFormat="1">
      <c r="A3543" s="86"/>
    </row>
    <row r="3544" spans="1:1" s="126" customFormat="1">
      <c r="A3544" s="86"/>
    </row>
    <row r="3545" spans="1:1" s="126" customFormat="1">
      <c r="A3545" s="86"/>
    </row>
    <row r="3546" spans="1:1" s="126" customFormat="1">
      <c r="A3546" s="86"/>
    </row>
    <row r="3547" spans="1:1" s="126" customFormat="1">
      <c r="A3547" s="86"/>
    </row>
    <row r="3548" spans="1:1" s="126" customFormat="1">
      <c r="A3548" s="86"/>
    </row>
    <row r="3549" spans="1:1" s="126" customFormat="1">
      <c r="A3549" s="86"/>
    </row>
    <row r="3550" spans="1:1" s="126" customFormat="1">
      <c r="A3550" s="86"/>
    </row>
    <row r="3551" spans="1:1" s="126" customFormat="1">
      <c r="A3551" s="86"/>
    </row>
    <row r="3552" spans="1:1" s="126" customFormat="1">
      <c r="A3552" s="86"/>
    </row>
    <row r="3553" spans="1:1" s="126" customFormat="1">
      <c r="A3553" s="86"/>
    </row>
    <row r="3554" spans="1:1" s="126" customFormat="1">
      <c r="A3554" s="86"/>
    </row>
    <row r="3555" spans="1:1" s="126" customFormat="1">
      <c r="A3555" s="86"/>
    </row>
    <row r="3556" spans="1:1" s="126" customFormat="1">
      <c r="A3556" s="86"/>
    </row>
    <row r="3557" spans="1:1" s="126" customFormat="1">
      <c r="A3557" s="86"/>
    </row>
    <row r="3558" spans="1:1" s="126" customFormat="1">
      <c r="A3558" s="86"/>
    </row>
    <row r="3559" spans="1:1" s="126" customFormat="1">
      <c r="A3559" s="86"/>
    </row>
    <row r="3560" spans="1:1" s="126" customFormat="1">
      <c r="A3560" s="86"/>
    </row>
    <row r="3561" spans="1:1" s="126" customFormat="1">
      <c r="A3561" s="86"/>
    </row>
    <row r="3562" spans="1:1" s="126" customFormat="1">
      <c r="A3562" s="86"/>
    </row>
    <row r="3563" spans="1:1" s="126" customFormat="1">
      <c r="A3563" s="86"/>
    </row>
    <row r="3564" spans="1:1" s="126" customFormat="1">
      <c r="A3564" s="86"/>
    </row>
    <row r="3565" spans="1:1" s="126" customFormat="1">
      <c r="A3565" s="86"/>
    </row>
    <row r="3566" spans="1:1" s="126" customFormat="1">
      <c r="A3566" s="86"/>
    </row>
    <row r="3567" spans="1:1" s="126" customFormat="1">
      <c r="A3567" s="86"/>
    </row>
    <row r="3568" spans="1:1" s="126" customFormat="1">
      <c r="A3568" s="86"/>
    </row>
    <row r="3569" spans="1:1" s="126" customFormat="1">
      <c r="A3569" s="86"/>
    </row>
    <row r="3570" spans="1:1" s="126" customFormat="1">
      <c r="A3570" s="86"/>
    </row>
    <row r="3571" spans="1:1" s="126" customFormat="1">
      <c r="A3571" s="86"/>
    </row>
    <row r="3572" spans="1:1" s="126" customFormat="1">
      <c r="A3572" s="86"/>
    </row>
    <row r="3573" spans="1:1" s="126" customFormat="1">
      <c r="A3573" s="86"/>
    </row>
    <row r="3574" spans="1:1" s="126" customFormat="1">
      <c r="A3574" s="86"/>
    </row>
    <row r="3575" spans="1:1" s="126" customFormat="1">
      <c r="A3575" s="86"/>
    </row>
    <row r="3576" spans="1:1" s="126" customFormat="1">
      <c r="A3576" s="86"/>
    </row>
    <row r="3577" spans="1:1" s="126" customFormat="1">
      <c r="A3577" s="86"/>
    </row>
    <row r="3578" spans="1:1" s="126" customFormat="1">
      <c r="A3578" s="86"/>
    </row>
    <row r="3579" spans="1:1" s="126" customFormat="1">
      <c r="A3579" s="86"/>
    </row>
    <row r="3580" spans="1:1" s="126" customFormat="1">
      <c r="A3580" s="86"/>
    </row>
    <row r="3581" spans="1:1" s="126" customFormat="1">
      <c r="A3581" s="86"/>
    </row>
    <row r="3582" spans="1:1" s="126" customFormat="1">
      <c r="A3582" s="86"/>
    </row>
    <row r="3583" spans="1:1" s="126" customFormat="1">
      <c r="A3583" s="86"/>
    </row>
    <row r="3584" spans="1:1" s="126" customFormat="1">
      <c r="A3584" s="86"/>
    </row>
    <row r="3585" spans="1:1" s="126" customFormat="1">
      <c r="A3585" s="86"/>
    </row>
    <row r="3586" spans="1:1" s="126" customFormat="1">
      <c r="A3586" s="86"/>
    </row>
    <row r="3587" spans="1:1" s="126" customFormat="1">
      <c r="A3587" s="86"/>
    </row>
    <row r="3588" spans="1:1" s="126" customFormat="1">
      <c r="A3588" s="86"/>
    </row>
    <row r="3589" spans="1:1" s="126" customFormat="1">
      <c r="A3589" s="86"/>
    </row>
    <row r="3590" spans="1:1" s="126" customFormat="1">
      <c r="A3590" s="86"/>
    </row>
    <row r="3591" spans="1:1" s="126" customFormat="1">
      <c r="A3591" s="86"/>
    </row>
    <row r="3592" spans="1:1" s="126" customFormat="1">
      <c r="A3592" s="86"/>
    </row>
    <row r="3593" spans="1:1" s="126" customFormat="1">
      <c r="A3593" s="86"/>
    </row>
    <row r="3594" spans="1:1" s="126" customFormat="1">
      <c r="A3594" s="86"/>
    </row>
    <row r="3595" spans="1:1" s="126" customFormat="1">
      <c r="A3595" s="86"/>
    </row>
    <row r="3596" spans="1:1" s="126" customFormat="1">
      <c r="A3596" s="86"/>
    </row>
    <row r="3597" spans="1:1" s="126" customFormat="1">
      <c r="A3597" s="86"/>
    </row>
    <row r="3598" spans="1:1" s="126" customFormat="1">
      <c r="A3598" s="86"/>
    </row>
    <row r="3599" spans="1:1" s="126" customFormat="1">
      <c r="A3599" s="86"/>
    </row>
    <row r="3600" spans="1:1" s="126" customFormat="1">
      <c r="A3600" s="86"/>
    </row>
    <row r="3601" spans="1:1" s="126" customFormat="1">
      <c r="A3601" s="86"/>
    </row>
    <row r="3602" spans="1:1" s="126" customFormat="1">
      <c r="A3602" s="86"/>
    </row>
    <row r="3603" spans="1:1" s="126" customFormat="1">
      <c r="A3603" s="86"/>
    </row>
    <row r="3604" spans="1:1" s="126" customFormat="1">
      <c r="A3604" s="86"/>
    </row>
    <row r="3605" spans="1:1" s="126" customFormat="1">
      <c r="A3605" s="86"/>
    </row>
    <row r="3606" spans="1:1" s="126" customFormat="1">
      <c r="A3606" s="86"/>
    </row>
    <row r="3607" spans="1:1" s="126" customFormat="1">
      <c r="A3607" s="86"/>
    </row>
    <row r="3608" spans="1:1" s="126" customFormat="1">
      <c r="A3608" s="86"/>
    </row>
    <row r="3609" spans="1:1" s="126" customFormat="1">
      <c r="A3609" s="86"/>
    </row>
    <row r="3610" spans="1:1" s="126" customFormat="1">
      <c r="A3610" s="86"/>
    </row>
    <row r="3611" spans="1:1" s="126" customFormat="1">
      <c r="A3611" s="86"/>
    </row>
    <row r="3612" spans="1:1" s="126" customFormat="1">
      <c r="A3612" s="86"/>
    </row>
    <row r="3613" spans="1:1" s="126" customFormat="1">
      <c r="A3613" s="86"/>
    </row>
    <row r="3614" spans="1:1" s="126" customFormat="1">
      <c r="A3614" s="86"/>
    </row>
    <row r="3615" spans="1:1" s="126" customFormat="1">
      <c r="A3615" s="86"/>
    </row>
  </sheetData>
  <sheetProtection password="DDBB" sheet="1" objects="1" scenarios="1"/>
  <customSheetViews>
    <customSheetView guid="{8B6F97DF-C947-48D2-9784-61CE00853B70}" outlineSymbols="0" zeroValues="0" showRuler="0">
      <selection activeCell="B2" sqref="B2"/>
      <colBreaks count="1" manualBreakCount="1">
        <brk id="15" max="1048575" man="1"/>
      </colBreaks>
      <pageMargins left="0.43307086614173229" right="0.78740157480314965" top="0.82677165354330717" bottom="0.98425196850393704" header="0.51181102362204722" footer="0.51181102362204722"/>
      <pageSetup paperSize="9" scale="98" orientation="landscape" r:id="rId1"/>
      <headerFooter alignWithMargins="0">
        <oddFooter>&amp;C&amp;F&amp;R&amp;3-10-2003</oddFooter>
      </headerFooter>
    </customSheetView>
  </customSheetViews>
  <phoneticPr fontId="53" type="noConversion"/>
  <pageMargins left="0.43307086614173229" right="0.78740157480314965" top="0.82677165354330717" bottom="0.98425196850393704" header="0.51181102362204722" footer="0.51181102362204722"/>
  <pageSetup paperSize="9" scale="98" orientation="landscape" r:id="rId2"/>
  <headerFooter alignWithMargins="0">
    <oddFooter>&amp;C&amp;F&amp;R&amp;3-10-2003</oddFooter>
  </headerFooter>
  <colBreaks count="1" manualBreakCount="1">
    <brk id="15" max="1048575" man="1"/>
  </colBreaks>
  <drawing r:id="rId3"/>
  <legacyDrawing r:id="rId4"/>
  <oleObjects>
    <mc:AlternateContent xmlns:mc="http://schemas.openxmlformats.org/markup-compatibility/2006">
      <mc:Choice Requires="x14">
        <oleObject progId="WangImage.Document" shapeId="3076" r:id="rId5">
          <objectPr defaultSize="0" autoPict="0" r:id="rId6">
            <anchor moveWithCells="1" sizeWithCells="1">
              <from>
                <xdr:col>13</xdr:col>
                <xdr:colOff>561975</xdr:colOff>
                <xdr:row>1</xdr:row>
                <xdr:rowOff>28575</xdr:rowOff>
              </from>
              <to>
                <xdr:col>15</xdr:col>
                <xdr:colOff>590550</xdr:colOff>
                <xdr:row>6</xdr:row>
                <xdr:rowOff>57150</xdr:rowOff>
              </to>
            </anchor>
          </objectPr>
        </oleObject>
      </mc:Choice>
      <mc:Fallback>
        <oleObject progId="WangImage.Document" shapeId="3076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7" name="Button 1">
              <controlPr defaultSize="0" print="0" autoFill="0" autoPict="0" macro="[0]!Rekenblad">
                <anchor moveWithCells="1" sizeWithCells="1">
                  <from>
                    <xdr:col>11</xdr:col>
                    <xdr:colOff>514350</xdr:colOff>
                    <xdr:row>7</xdr:row>
                    <xdr:rowOff>66675</xdr:rowOff>
                  </from>
                  <to>
                    <xdr:col>13</xdr:col>
                    <xdr:colOff>552450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8" name="Button 2">
              <controlPr defaultSize="0" print="0" autoFill="0" autoPict="0" macro="[0]!Printen2">
                <anchor moveWithCells="1" sizeWithCells="1">
                  <from>
                    <xdr:col>14</xdr:col>
                    <xdr:colOff>133350</xdr:colOff>
                    <xdr:row>7</xdr:row>
                    <xdr:rowOff>47625</xdr:rowOff>
                  </from>
                  <to>
                    <xdr:col>15</xdr:col>
                    <xdr:colOff>352425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Rekenblad</vt:lpstr>
      <vt:lpstr>Gemeenten met categorie</vt:lpstr>
      <vt:lpstr>Invoerscherm</vt:lpstr>
      <vt:lpstr>INFO</vt:lpstr>
      <vt:lpstr>'Gemeenten met categorie'!Afdrukbereik</vt:lpstr>
      <vt:lpstr>INFO!Afdrukbereik</vt:lpstr>
      <vt:lpstr>Rekenblad!Afdrukbereik</vt:lpstr>
    </vt:vector>
  </TitlesOfParts>
  <Manager>G.J. Soer</Manager>
  <Company>Essent Kabelcom Hengelo, Namens VNG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Richtlijn tarieven VNG 2004 uitgave 23 dec 2003</dc:title>
  <dc:creator>SoerG01</dc:creator>
  <cp:lastModifiedBy>mkleijn</cp:lastModifiedBy>
  <cp:lastPrinted>2015-11-26T11:22:21Z</cp:lastPrinted>
  <dcterms:created xsi:type="dcterms:W3CDTF">2003-10-06T08:14:13Z</dcterms:created>
  <dcterms:modified xsi:type="dcterms:W3CDTF">2016-02-01T08:18:22Z</dcterms:modified>
</cp:coreProperties>
</file>